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bookViews>
    <workbookView xWindow="240" yWindow="108" windowWidth="9132" windowHeight="5280" tabRatio="725"/>
  </bookViews>
  <sheets>
    <sheet name="Eingabedaten" sheetId="1" r:id="rId1"/>
    <sheet name="Zielgrafik" sheetId="4" r:id="rId2"/>
    <sheet name="Berechnung der Vergleichskurven" sheetId="3" r:id="rId3"/>
    <sheet name="Wetterdaten" sheetId="11" r:id="rId4"/>
    <sheet name="Modul2" sheetId="6" state="veryHidden" r:id="rId5"/>
  </sheets>
  <definedNames>
    <definedName name="_xlnm.Print_Area" localSheetId="2">'Berechnung der Vergleichskurven'!#REF!</definedName>
    <definedName name="_xlnm.Print_Area" localSheetId="0">Eingabedaten!$A$1:$H$75</definedName>
    <definedName name="_xlnm.Print_Area" localSheetId="1">Zielgrafik!$B$1:$B$20</definedName>
  </definedNames>
  <calcPr calcId="124519"/>
</workbook>
</file>

<file path=xl/calcChain.xml><?xml version="1.0" encoding="utf-8"?>
<calcChain xmlns="http://schemas.openxmlformats.org/spreadsheetml/2006/main">
  <c r="H4" i="4"/>
  <c r="D110" i="1"/>
  <c r="D109"/>
  <c r="D7"/>
  <c r="D21" s="1"/>
  <c r="D105"/>
  <c r="D101"/>
  <c r="D97"/>
  <c r="D94"/>
  <c r="D93"/>
  <c r="D92"/>
  <c r="D89"/>
  <c r="D85"/>
  <c r="D78"/>
  <c r="D80" s="1"/>
  <c r="D81"/>
  <c r="D56"/>
  <c r="D55"/>
  <c r="A6" i="4"/>
  <c r="D9" i="1"/>
  <c r="D34" s="1"/>
  <c r="H25" i="3"/>
  <c r="H26"/>
  <c r="H27"/>
  <c r="H29"/>
  <c r="H30"/>
  <c r="H31"/>
  <c r="H32"/>
  <c r="H33"/>
  <c r="H34"/>
  <c r="H35"/>
  <c r="H36"/>
  <c r="H38"/>
  <c r="H39"/>
  <c r="H40"/>
  <c r="H41"/>
  <c r="H42"/>
  <c r="H43"/>
  <c r="H44"/>
  <c r="H45"/>
  <c r="H46"/>
  <c r="H47"/>
  <c r="H48"/>
  <c r="H49"/>
  <c r="H50"/>
  <c r="H51"/>
  <c r="H52"/>
  <c r="H53"/>
  <c r="H54"/>
  <c r="H55"/>
  <c r="H56"/>
  <c r="H22"/>
  <c r="H23"/>
  <c r="H20"/>
  <c r="H19"/>
  <c r="H18"/>
  <c r="H17"/>
  <c r="H16"/>
  <c r="H15"/>
  <c r="H14"/>
  <c r="H13"/>
  <c r="H12"/>
  <c r="H10"/>
  <c r="H9"/>
  <c r="H8"/>
  <c r="H7"/>
  <c r="H6"/>
  <c r="B4" i="4"/>
  <c r="E17" i="1"/>
  <c r="A5" i="3"/>
  <c r="F4" s="1"/>
  <c r="R6"/>
  <c r="S6"/>
  <c r="AD6" s="1"/>
  <c r="T6"/>
  <c r="U6"/>
  <c r="V6"/>
  <c r="W6"/>
  <c r="X6"/>
  <c r="Y6"/>
  <c r="Z6"/>
  <c r="AA6"/>
  <c r="AB6"/>
  <c r="AC6"/>
  <c r="N7"/>
  <c r="N8"/>
  <c r="N9"/>
  <c r="N10" s="1"/>
  <c r="N11" s="1"/>
  <c r="N12" s="1"/>
  <c r="N13" s="1"/>
  <c r="N14" s="1"/>
  <c r="N15" s="1"/>
  <c r="N16" s="1"/>
  <c r="N17" s="1"/>
  <c r="N18" s="1"/>
  <c r="N19" s="1"/>
  <c r="N20" s="1"/>
  <c r="N21" s="1"/>
  <c r="N22" s="1"/>
  <c r="N23" s="1"/>
  <c r="N24" s="1"/>
  <c r="N25" s="1"/>
  <c r="N26" s="1"/>
  <c r="N27"/>
  <c r="N28" s="1"/>
  <c r="N29" s="1"/>
  <c r="N30" s="1"/>
  <c r="N31" s="1"/>
  <c r="N32" s="1"/>
  <c r="N33" s="1"/>
  <c r="N34" s="1"/>
  <c r="N35" s="1"/>
  <c r="N36" s="1"/>
  <c r="N37" s="1"/>
  <c r="N38" s="1"/>
  <c r="N39" s="1"/>
  <c r="N40" s="1"/>
  <c r="N41" s="1"/>
  <c r="N42" s="1"/>
  <c r="N43" s="1"/>
  <c r="N44" s="1"/>
  <c r="N45" s="1"/>
  <c r="N46" s="1"/>
  <c r="N47" s="1"/>
  <c r="N48" s="1"/>
  <c r="N49" s="1"/>
  <c r="N50" s="1"/>
  <c r="N51" s="1"/>
  <c r="N52" s="1"/>
  <c r="N53" s="1"/>
  <c r="N54" s="1"/>
  <c r="N55" s="1"/>
  <c r="N56" s="1"/>
  <c r="N57" s="1"/>
  <c r="B58"/>
  <c r="H5" s="1"/>
  <c r="P58"/>
  <c r="D26" i="1"/>
  <c r="D30"/>
  <c r="D31"/>
  <c r="D32"/>
  <c r="D35"/>
  <c r="D36"/>
  <c r="D39"/>
  <c r="D40"/>
  <c r="D41"/>
  <c r="D42"/>
  <c r="D45"/>
  <c r="D46"/>
  <c r="D50"/>
  <c r="D51"/>
  <c r="A59"/>
  <c r="D60"/>
  <c r="D61"/>
  <c r="D65"/>
  <c r="D66"/>
  <c r="D70"/>
  <c r="D71"/>
  <c r="A46" i="11"/>
  <c r="C46"/>
  <c r="C47" s="1"/>
  <c r="D46"/>
  <c r="E46" s="1"/>
  <c r="G46"/>
  <c r="H46"/>
  <c r="B47"/>
  <c r="D47"/>
  <c r="E47" s="1"/>
  <c r="A48"/>
  <c r="D48" s="1"/>
  <c r="B48"/>
  <c r="B50" s="1"/>
  <c r="C48"/>
  <c r="G48"/>
  <c r="B49"/>
  <c r="B51" s="1"/>
  <c r="C49"/>
  <c r="A50"/>
  <c r="C50" s="1"/>
  <c r="C51" s="1"/>
  <c r="G50"/>
  <c r="A52"/>
  <c r="D52" s="1"/>
  <c r="B52"/>
  <c r="B54" s="1"/>
  <c r="C52"/>
  <c r="G52"/>
  <c r="B53"/>
  <c r="B55" s="1"/>
  <c r="C53"/>
  <c r="A54"/>
  <c r="C54" s="1"/>
  <c r="C55" s="1"/>
  <c r="G54"/>
  <c r="A56"/>
  <c r="D56" s="1"/>
  <c r="B56"/>
  <c r="B58" s="1"/>
  <c r="C56"/>
  <c r="G56"/>
  <c r="B57"/>
  <c r="B59" s="1"/>
  <c r="C57"/>
  <c r="A58"/>
  <c r="C58" s="1"/>
  <c r="C59" s="1"/>
  <c r="G58"/>
  <c r="A60"/>
  <c r="D60" s="1"/>
  <c r="B60"/>
  <c r="B62" s="1"/>
  <c r="C60"/>
  <c r="G60"/>
  <c r="B61"/>
  <c r="B63" s="1"/>
  <c r="C61"/>
  <c r="A62"/>
  <c r="C62" s="1"/>
  <c r="C63" s="1"/>
  <c r="G62"/>
  <c r="A64"/>
  <c r="D64" s="1"/>
  <c r="B64"/>
  <c r="B66" s="1"/>
  <c r="C64"/>
  <c r="G64"/>
  <c r="B65"/>
  <c r="B67" s="1"/>
  <c r="C65"/>
  <c r="A66"/>
  <c r="C66" s="1"/>
  <c r="C67" s="1"/>
  <c r="G66"/>
  <c r="A68"/>
  <c r="D68" s="1"/>
  <c r="B68"/>
  <c r="C68"/>
  <c r="G68"/>
  <c r="B69"/>
  <c r="C69"/>
  <c r="I69"/>
  <c r="G71"/>
  <c r="D98" i="1" l="1"/>
  <c r="D96"/>
  <c r="D84"/>
  <c r="D86"/>
  <c r="D37"/>
  <c r="D22"/>
  <c r="D82"/>
  <c r="B3" i="3"/>
  <c r="E16" i="1"/>
  <c r="B57" i="3"/>
  <c r="A6"/>
  <c r="I6" s="1"/>
  <c r="J6" s="1"/>
  <c r="K6" s="1"/>
  <c r="I5"/>
  <c r="J5" s="1"/>
  <c r="K5" s="1"/>
  <c r="G4"/>
  <c r="I47" i="11"/>
  <c r="H47"/>
  <c r="I46" s="1"/>
  <c r="J46" s="1"/>
  <c r="E68"/>
  <c r="D69"/>
  <c r="E69" s="1"/>
  <c r="H69" s="1"/>
  <c r="I68" s="1"/>
  <c r="E64"/>
  <c r="D65"/>
  <c r="E65" s="1"/>
  <c r="E60"/>
  <c r="D61"/>
  <c r="E61" s="1"/>
  <c r="E56"/>
  <c r="D57"/>
  <c r="E57" s="1"/>
  <c r="E48"/>
  <c r="F46" s="1"/>
  <c r="D49"/>
  <c r="E49" s="1"/>
  <c r="D66"/>
  <c r="D62"/>
  <c r="D58"/>
  <c r="D54"/>
  <c r="D50"/>
  <c r="T7" i="3"/>
  <c r="X7"/>
  <c r="AB7"/>
  <c r="S7"/>
  <c r="W7"/>
  <c r="AA7"/>
  <c r="R7"/>
  <c r="V7"/>
  <c r="Z7"/>
  <c r="U7"/>
  <c r="Y7"/>
  <c r="AC7"/>
  <c r="E52" i="11"/>
  <c r="D53"/>
  <c r="E53" s="1"/>
  <c r="J69"/>
  <c r="M46"/>
  <c r="E5" i="3"/>
  <c r="E4"/>
  <c r="F5"/>
  <c r="G5"/>
  <c r="D102" i="1" l="1"/>
  <c r="D100"/>
  <c r="D88"/>
  <c r="D90"/>
  <c r="D23"/>
  <c r="H28" i="3"/>
  <c r="H11"/>
  <c r="H24"/>
  <c r="H37"/>
  <c r="H21"/>
  <c r="H57"/>
  <c r="A7"/>
  <c r="A8" s="1"/>
  <c r="E58" i="11"/>
  <c r="F56" s="1"/>
  <c r="D59"/>
  <c r="E59" s="1"/>
  <c r="E54"/>
  <c r="F52" s="1"/>
  <c r="D55"/>
  <c r="E55" s="1"/>
  <c r="I57"/>
  <c r="H57"/>
  <c r="I56" s="1"/>
  <c r="I65"/>
  <c r="H65"/>
  <c r="I64" s="1"/>
  <c r="L46"/>
  <c r="H48"/>
  <c r="J47"/>
  <c r="O34" i="3"/>
  <c r="O35"/>
  <c r="O36"/>
  <c r="O58"/>
  <c r="O37"/>
  <c r="O9"/>
  <c r="O8"/>
  <c r="R8"/>
  <c r="S8" s="1"/>
  <c r="T8" s="1"/>
  <c r="U8" s="1"/>
  <c r="V8" s="1"/>
  <c r="W8" s="1"/>
  <c r="X8" s="1"/>
  <c r="Y8" s="1"/>
  <c r="Z8" s="1"/>
  <c r="AA8" s="1"/>
  <c r="AB8" s="1"/>
  <c r="AC8" s="1"/>
  <c r="O6"/>
  <c r="O7"/>
  <c r="O56"/>
  <c r="O57"/>
  <c r="O53"/>
  <c r="O54"/>
  <c r="O55"/>
  <c r="O24"/>
  <c r="O25"/>
  <c r="O26"/>
  <c r="O23"/>
  <c r="O13"/>
  <c r="O10"/>
  <c r="O11"/>
  <c r="O12"/>
  <c r="E50" i="11"/>
  <c r="F48" s="1"/>
  <c r="D51"/>
  <c r="E51" s="1"/>
  <c r="E66"/>
  <c r="F64" s="1"/>
  <c r="D67"/>
  <c r="E67" s="1"/>
  <c r="I53"/>
  <c r="H53"/>
  <c r="I52" s="1"/>
  <c r="O19" i="3"/>
  <c r="O20"/>
  <c r="O22"/>
  <c r="O21"/>
  <c r="O43"/>
  <c r="O47"/>
  <c r="O44"/>
  <c r="O45"/>
  <c r="O46"/>
  <c r="O30"/>
  <c r="O31"/>
  <c r="O32"/>
  <c r="O33"/>
  <c r="L69" i="11"/>
  <c r="O51" i="3"/>
  <c r="O48"/>
  <c r="O52"/>
  <c r="O49"/>
  <c r="O50"/>
  <c r="O38"/>
  <c r="O39"/>
  <c r="O40"/>
  <c r="O41"/>
  <c r="O42"/>
  <c r="O27"/>
  <c r="O29"/>
  <c r="O28"/>
  <c r="O18"/>
  <c r="O14"/>
  <c r="O16"/>
  <c r="O17"/>
  <c r="O15"/>
  <c r="E62" i="11"/>
  <c r="F60" s="1"/>
  <c r="D63"/>
  <c r="E63" s="1"/>
  <c r="I49"/>
  <c r="H49"/>
  <c r="I48" s="1"/>
  <c r="J48" s="1"/>
  <c r="I61"/>
  <c r="H61"/>
  <c r="I60" s="1"/>
  <c r="F54"/>
  <c r="F50"/>
  <c r="D104" i="1" l="1"/>
  <c r="G104"/>
  <c r="D108"/>
  <c r="D106"/>
  <c r="D27"/>
  <c r="D24"/>
  <c r="D29" s="1"/>
  <c r="D57" s="1"/>
  <c r="I7" i="3"/>
  <c r="J7" s="1"/>
  <c r="K7" s="1"/>
  <c r="I8"/>
  <c r="J8" s="1"/>
  <c r="K8" s="1"/>
  <c r="A9"/>
  <c r="F68" i="11"/>
  <c r="M69" s="1"/>
  <c r="I67"/>
  <c r="H67"/>
  <c r="I66" s="1"/>
  <c r="J66" s="1"/>
  <c r="J65"/>
  <c r="H66"/>
  <c r="F58"/>
  <c r="F62"/>
  <c r="J49"/>
  <c r="H50"/>
  <c r="J53"/>
  <c r="H54"/>
  <c r="I51"/>
  <c r="H51"/>
  <c r="I50" s="1"/>
  <c r="J50" s="1"/>
  <c r="J57"/>
  <c r="H58"/>
  <c r="L48"/>
  <c r="K48"/>
  <c r="I59"/>
  <c r="H59"/>
  <c r="I58" s="1"/>
  <c r="J61"/>
  <c r="H62"/>
  <c r="I63"/>
  <c r="H63"/>
  <c r="I62" s="1"/>
  <c r="L47"/>
  <c r="M47"/>
  <c r="I55"/>
  <c r="H55"/>
  <c r="I54" s="1"/>
  <c r="F66"/>
  <c r="D59" i="1" l="1"/>
  <c r="H5" i="4" s="1"/>
  <c r="G5" s="1"/>
  <c r="B2" s="1"/>
  <c r="D47" i="1"/>
  <c r="D44"/>
  <c r="D54"/>
  <c r="B3" i="4"/>
  <c r="D62" i="1"/>
  <c r="A10" i="3"/>
  <c r="I9"/>
  <c r="J9" s="1"/>
  <c r="K9" s="1"/>
  <c r="H64" i="11"/>
  <c r="J64" s="1"/>
  <c r="J63"/>
  <c r="H60"/>
  <c r="J60" s="1"/>
  <c r="J59"/>
  <c r="H52"/>
  <c r="J52" s="1"/>
  <c r="J51"/>
  <c r="L65"/>
  <c r="M65"/>
  <c r="K50"/>
  <c r="M48"/>
  <c r="K66"/>
  <c r="L66"/>
  <c r="H56"/>
  <c r="J56" s="1"/>
  <c r="J55"/>
  <c r="L49"/>
  <c r="M49"/>
  <c r="L61"/>
  <c r="M61"/>
  <c r="L57"/>
  <c r="M57"/>
  <c r="L53"/>
  <c r="M53"/>
  <c r="H68"/>
  <c r="J68" s="1"/>
  <c r="J67"/>
  <c r="J54"/>
  <c r="J62"/>
  <c r="J58"/>
  <c r="D52" i="1" l="1"/>
  <c r="D49"/>
  <c r="G4" i="4"/>
  <c r="A11" i="3"/>
  <c r="I10"/>
  <c r="J10" s="1"/>
  <c r="K10" s="1"/>
  <c r="K54" i="11"/>
  <c r="L54" s="1"/>
  <c r="L55"/>
  <c r="M55"/>
  <c r="L60"/>
  <c r="K60"/>
  <c r="L52"/>
  <c r="K52"/>
  <c r="L64"/>
  <c r="K64"/>
  <c r="K62"/>
  <c r="L62" s="1"/>
  <c r="K56"/>
  <c r="L56" s="1"/>
  <c r="L51"/>
  <c r="M51"/>
  <c r="L63"/>
  <c r="M63"/>
  <c r="K58"/>
  <c r="L58" s="1"/>
  <c r="K68"/>
  <c r="L68" s="1"/>
  <c r="L67"/>
  <c r="M67"/>
  <c r="L59"/>
  <c r="M59"/>
  <c r="M50"/>
  <c r="J71"/>
  <c r="L50"/>
  <c r="M66"/>
  <c r="I11" i="3" l="1"/>
  <c r="J11" s="1"/>
  <c r="K11" s="1"/>
  <c r="A12"/>
  <c r="M52" i="11"/>
  <c r="M58"/>
  <c r="M62"/>
  <c r="M54"/>
  <c r="M68"/>
  <c r="M56"/>
  <c r="M64"/>
  <c r="M60"/>
  <c r="A13" i="3" l="1"/>
  <c r="I12"/>
  <c r="J12" s="1"/>
  <c r="K12" s="1"/>
  <c r="I13" l="1"/>
  <c r="J13" s="1"/>
  <c r="K13" s="1"/>
  <c r="A14"/>
  <c r="I14" l="1"/>
  <c r="J14" s="1"/>
  <c r="K14" s="1"/>
  <c r="A15"/>
  <c r="A16" l="1"/>
  <c r="I15"/>
  <c r="J15" s="1"/>
  <c r="K15" s="1"/>
  <c r="A17" l="1"/>
  <c r="I16"/>
  <c r="J16" s="1"/>
  <c r="K16" s="1"/>
  <c r="A18" l="1"/>
  <c r="I17"/>
  <c r="J17" s="1"/>
  <c r="K17" s="1"/>
  <c r="A19" l="1"/>
  <c r="I18"/>
  <c r="J18" s="1"/>
  <c r="K18" s="1"/>
  <c r="A20" l="1"/>
  <c r="I19"/>
  <c r="J19" s="1"/>
  <c r="K19" s="1"/>
  <c r="I20" l="1"/>
  <c r="J20" s="1"/>
  <c r="K20" s="1"/>
  <c r="A21"/>
  <c r="I21" l="1"/>
  <c r="J21" s="1"/>
  <c r="K21" s="1"/>
  <c r="A22"/>
  <c r="I22" l="1"/>
  <c r="J22" s="1"/>
  <c r="K22" s="1"/>
  <c r="A23"/>
  <c r="A24" l="1"/>
  <c r="I23"/>
  <c r="J23" s="1"/>
  <c r="K23" s="1"/>
  <c r="A25" l="1"/>
  <c r="I24"/>
  <c r="J24" s="1"/>
  <c r="K24" s="1"/>
  <c r="I25" l="1"/>
  <c r="J25" s="1"/>
  <c r="K25" s="1"/>
  <c r="A26"/>
  <c r="A27" l="1"/>
  <c r="I26"/>
  <c r="J26" s="1"/>
  <c r="K26" s="1"/>
  <c r="I27" l="1"/>
  <c r="J27" s="1"/>
  <c r="K27" s="1"/>
  <c r="A28"/>
  <c r="I28" l="1"/>
  <c r="J28" s="1"/>
  <c r="K28" s="1"/>
  <c r="A29"/>
  <c r="I29" l="1"/>
  <c r="J29" s="1"/>
  <c r="K29" s="1"/>
  <c r="A30"/>
  <c r="A31" l="1"/>
  <c r="I30"/>
  <c r="J30" s="1"/>
  <c r="K30" s="1"/>
  <c r="I31" l="1"/>
  <c r="J31" s="1"/>
  <c r="K31" s="1"/>
  <c r="A32"/>
  <c r="I32" l="1"/>
  <c r="J32" s="1"/>
  <c r="K32" s="1"/>
  <c r="A33"/>
  <c r="I33" l="1"/>
  <c r="J33" s="1"/>
  <c r="K33" s="1"/>
  <c r="A34"/>
  <c r="A35" l="1"/>
  <c r="I34"/>
  <c r="J34" s="1"/>
  <c r="K34" s="1"/>
  <c r="I35" l="1"/>
  <c r="J35" s="1"/>
  <c r="K35" s="1"/>
  <c r="A36"/>
  <c r="I36" l="1"/>
  <c r="J36" s="1"/>
  <c r="K36" s="1"/>
  <c r="A37"/>
  <c r="I37" l="1"/>
  <c r="J37" s="1"/>
  <c r="K37" s="1"/>
  <c r="A38"/>
  <c r="A39" l="1"/>
  <c r="I38"/>
  <c r="J38" s="1"/>
  <c r="K38" s="1"/>
  <c r="I39" l="1"/>
  <c r="J39" s="1"/>
  <c r="K39" s="1"/>
  <c r="A40"/>
  <c r="I40" l="1"/>
  <c r="J40" s="1"/>
  <c r="K40" s="1"/>
  <c r="A41"/>
  <c r="I41" l="1"/>
  <c r="J41" s="1"/>
  <c r="K41" s="1"/>
  <c r="A42"/>
  <c r="I42" l="1"/>
  <c r="J42" s="1"/>
  <c r="K42" s="1"/>
  <c r="A43"/>
  <c r="A44" l="1"/>
  <c r="I43"/>
  <c r="J43" s="1"/>
  <c r="K43" s="1"/>
  <c r="I44" l="1"/>
  <c r="J44" s="1"/>
  <c r="K44" s="1"/>
  <c r="A45"/>
  <c r="I45" l="1"/>
  <c r="J45" s="1"/>
  <c r="K45" s="1"/>
  <c r="A46"/>
  <c r="I46" l="1"/>
  <c r="J46" s="1"/>
  <c r="K46" s="1"/>
  <c r="A47"/>
  <c r="A48" l="1"/>
  <c r="I47"/>
  <c r="J47" s="1"/>
  <c r="K47" s="1"/>
  <c r="I48" l="1"/>
  <c r="J48" s="1"/>
  <c r="K48" s="1"/>
  <c r="A49"/>
  <c r="I49" l="1"/>
  <c r="J49" s="1"/>
  <c r="K49" s="1"/>
  <c r="A50"/>
  <c r="I50" l="1"/>
  <c r="J50" s="1"/>
  <c r="K50" s="1"/>
  <c r="A51"/>
  <c r="I51" l="1"/>
  <c r="J51" s="1"/>
  <c r="K51" s="1"/>
  <c r="A52"/>
  <c r="A53" l="1"/>
  <c r="I52"/>
  <c r="J52" s="1"/>
  <c r="K52" s="1"/>
  <c r="I53" l="1"/>
  <c r="J53" s="1"/>
  <c r="K53" s="1"/>
  <c r="A54"/>
  <c r="I54" l="1"/>
  <c r="J54" s="1"/>
  <c r="K54" s="1"/>
  <c r="A55"/>
  <c r="I55" l="1"/>
  <c r="J55" s="1"/>
  <c r="K55" s="1"/>
  <c r="A56"/>
  <c r="I56" l="1"/>
  <c r="J56" s="1"/>
  <c r="K56" s="1"/>
  <c r="A57"/>
  <c r="I57" s="1"/>
  <c r="J57" s="1"/>
  <c r="K57" s="1"/>
  <c r="D6"/>
  <c r="F6" s="1"/>
  <c r="D64" i="1"/>
  <c r="D72" l="1"/>
  <c r="D69"/>
  <c r="G6" i="3"/>
  <c r="D67" i="1"/>
  <c r="E6" i="3"/>
  <c r="D7"/>
  <c r="D8" l="1"/>
  <c r="F7"/>
  <c r="G7"/>
  <c r="E7"/>
  <c r="E8" l="1"/>
  <c r="F8"/>
  <c r="G8"/>
  <c r="D9"/>
  <c r="E9" l="1"/>
  <c r="D10"/>
  <c r="F9"/>
  <c r="G9"/>
  <c r="G10" l="1"/>
  <c r="D11"/>
  <c r="E10"/>
  <c r="F10"/>
  <c r="E11" l="1"/>
  <c r="G11"/>
  <c r="F11"/>
  <c r="D12"/>
  <c r="G12" l="1"/>
  <c r="F12"/>
  <c r="E12"/>
  <c r="D13"/>
  <c r="G13" l="1"/>
  <c r="F13"/>
  <c r="D14"/>
  <c r="E13"/>
  <c r="E14" l="1"/>
  <c r="G14"/>
  <c r="D15"/>
  <c r="F14"/>
  <c r="F15" l="1"/>
  <c r="D16"/>
  <c r="G15"/>
  <c r="E15"/>
  <c r="F16" l="1"/>
  <c r="G16"/>
  <c r="E16"/>
  <c r="D17"/>
  <c r="E17" l="1"/>
  <c r="F17"/>
  <c r="D18"/>
  <c r="G17"/>
  <c r="E18" l="1"/>
  <c r="D19"/>
  <c r="G18"/>
  <c r="F18"/>
  <c r="G19" l="1"/>
  <c r="E19"/>
  <c r="F19"/>
  <c r="D20"/>
  <c r="G20" l="1"/>
  <c r="F20"/>
  <c r="E20"/>
  <c r="D21"/>
  <c r="G21" l="1"/>
  <c r="F21"/>
  <c r="D22"/>
  <c r="E21"/>
  <c r="E22" l="1"/>
  <c r="F22"/>
  <c r="D23"/>
  <c r="G22"/>
  <c r="F23" l="1"/>
  <c r="D24"/>
  <c r="E23"/>
  <c r="G23"/>
  <c r="G24" l="1"/>
  <c r="F24"/>
  <c r="E24"/>
  <c r="D25"/>
  <c r="E25" l="1"/>
  <c r="D26"/>
  <c r="G25"/>
  <c r="F25"/>
  <c r="E26" l="1"/>
  <c r="D27"/>
  <c r="G26"/>
  <c r="F26"/>
  <c r="F27" l="1"/>
  <c r="D28"/>
  <c r="G27"/>
  <c r="E27"/>
  <c r="E28" l="1"/>
  <c r="F28"/>
  <c r="G28"/>
  <c r="D29"/>
  <c r="F29" l="1"/>
  <c r="D30"/>
  <c r="G29"/>
  <c r="E29"/>
  <c r="G30" l="1"/>
  <c r="D31"/>
  <c r="E30"/>
  <c r="F30"/>
  <c r="G31" l="1"/>
  <c r="F31"/>
  <c r="E31"/>
  <c r="D32"/>
  <c r="E32" l="1"/>
  <c r="F32"/>
  <c r="D33"/>
  <c r="G32"/>
  <c r="E33" l="1"/>
  <c r="D34"/>
  <c r="F33"/>
  <c r="G33"/>
  <c r="G34" l="1"/>
  <c r="D35"/>
  <c r="F34"/>
  <c r="E34"/>
  <c r="G35" l="1"/>
  <c r="D36"/>
  <c r="F35"/>
  <c r="E35"/>
  <c r="F36" l="1"/>
  <c r="G36"/>
  <c r="D37"/>
  <c r="E36"/>
  <c r="F37" l="1"/>
  <c r="D38"/>
  <c r="E37"/>
  <c r="G37"/>
  <c r="F38" l="1"/>
  <c r="G38"/>
  <c r="D39"/>
  <c r="E38"/>
  <c r="G39" l="1"/>
  <c r="E39"/>
  <c r="F39"/>
  <c r="D40"/>
  <c r="F40" l="1"/>
  <c r="E40"/>
  <c r="G40"/>
  <c r="D41"/>
  <c r="G41" l="1"/>
  <c r="F41"/>
  <c r="D42"/>
  <c r="E41"/>
  <c r="G42" l="1"/>
  <c r="D43"/>
  <c r="F42"/>
  <c r="E42"/>
  <c r="G43" l="1"/>
  <c r="D44"/>
  <c r="F43"/>
  <c r="E43"/>
  <c r="E44" l="1"/>
  <c r="F44"/>
  <c r="G44"/>
  <c r="D45"/>
  <c r="G45" l="1"/>
  <c r="E45"/>
  <c r="D46"/>
  <c r="F45"/>
  <c r="G46" l="1"/>
  <c r="E46"/>
  <c r="D47"/>
  <c r="F46"/>
  <c r="G47" l="1"/>
  <c r="F47"/>
  <c r="D48"/>
  <c r="E47"/>
  <c r="E48" l="1"/>
  <c r="G48"/>
  <c r="D49"/>
  <c r="F48"/>
  <c r="E49" l="1"/>
  <c r="G49"/>
  <c r="D50"/>
  <c r="F49"/>
  <c r="E50" l="1"/>
  <c r="F50"/>
  <c r="D51"/>
  <c r="G50"/>
  <c r="E51" l="1"/>
  <c r="F51"/>
  <c r="G51"/>
  <c r="D52"/>
  <c r="F52" l="1"/>
  <c r="E52"/>
  <c r="G52"/>
  <c r="D53"/>
  <c r="E53" l="1"/>
  <c r="D54"/>
  <c r="G53"/>
  <c r="F53"/>
  <c r="G54" l="1"/>
  <c r="D55"/>
  <c r="E54"/>
  <c r="F54"/>
  <c r="F55" l="1"/>
  <c r="E55"/>
  <c r="G55"/>
  <c r="D56"/>
  <c r="G56" l="1"/>
  <c r="D57"/>
  <c r="F56"/>
  <c r="E56"/>
  <c r="F57" l="1"/>
  <c r="E57"/>
  <c r="G57"/>
  <c r="F78" i="1" s="1"/>
  <c r="B1" i="4" s="1"/>
</calcChain>
</file>

<file path=xl/comments1.xml><?xml version="1.0" encoding="utf-8"?>
<comments xmlns="http://schemas.openxmlformats.org/spreadsheetml/2006/main">
  <authors>
    <author>ollo.</author>
    <author>Ein geschätzter Microsoft Office Anwender</author>
  </authors>
  <commentList>
    <comment ref="A1" authorId="0">
      <text>
        <r>
          <rPr>
            <b/>
            <sz val="6"/>
            <color indexed="81"/>
            <rFont val="Arial Narrow"/>
            <family val="2"/>
          </rPr>
          <t>Heizenergie veranschaulichen: Das Jahres-Verbrauchs-Diagramm</t>
        </r>
        <r>
          <rPr>
            <sz val="6"/>
            <color indexed="81"/>
            <rFont val="Arial Narrow"/>
            <family val="2"/>
          </rPr>
          <t xml:space="preserve">
Waren sie überrascht bei Ihrer Jahres-Schlussabrechnung? Ein Diagramm hilft, den Verbrauch richtig einzuschätzen. Auf einen Blick erkennen Sie, wo sie derzeit im Vergleich zum Vorjahr stehen und auf welchen Endverbrauch sie zusteuern.
Werden Sie sich klar über Ihren Energieverbrauch. Mit Hilfe eines Diagramms verfolgen Sie mit geringem Aufwand den Verlauf über das laufende Jahr. So bleiben Sie vor bösen Überraschungen bei der Schluss-rechnung verschont. Außerdem können sie Ihre Heizgewohnheiten und den Erfolg von Spar-maßnahmen beurteilen. Das Diagramm wird hier am Beispiel einer Gasheizung beschrieben. Eine Über-tragung auf andere Energieträger ist aber möglich. Dazu sind nur kleine Anpassungen nötig. 
</t>
        </r>
        <r>
          <rPr>
            <b/>
            <sz val="6"/>
            <color indexed="81"/>
            <rFont val="Arial Narrow"/>
            <family val="2"/>
          </rPr>
          <t>Vorbereitungen</t>
        </r>
        <r>
          <rPr>
            <sz val="6"/>
            <color indexed="81"/>
            <rFont val="Arial Narrow"/>
            <family val="2"/>
          </rPr>
          <t xml:space="preserve">
Zur Erstellung der Grafik braucht man einige Angaben aus der letzten Gasrechnung, einen PC und einen Drucker. In dieses vorbereitete Tabellenblatt in Excel werden folgende Angaben eingetragen: Das Ablesedatum des Zählers, der dazugehörige Zählerstand und der letzte Gasverbrauch. Für jeden Tag berechnet das Programm später den Verbrauch auf der Basis des Vorjahres. Alle diese Werte ergeben zusammen die erste von drei Kurven: Die Vergleichkurve zum Vorjahresverbrauch.
Laufen außer Heizung noch weitere Verbraucher wie Herd oder Heizung über den Zähler, kann man auch diesen Verbrauch abschätzen und eintragen. In den Verlaufskurven wird dann berücksichtigt, dass es auch außerhalb der Heizperiode einen Grundverbrauch gibt.
Man kann nun einen prozentualen Einsparwunsch angeben, dann wird auch eine im Diagramm eine Ziellinie unterhalb der Vorjahreslinie angezeigt. Eine dritte Linie oberhalb der Vorjahreslinie zeigt einen entsprechenden Mehrverbrauch. 
Mit weiteren Angaben über Energiekosten wird ermittelt, wieviel Brennstoff bereits mit den Abschlagszahlungen bezahlt ist. Das erlaubt die Prognose, ob es am Ende des Jahres Geld zurück gibt, oder eine Nachzahlung fällig wird. Bei Gaspreiserhöhungen im laufenden Jahr müssen diese natürlich berücksichtigt werden. 
Nach Eingabe dieser Daten wird das Diagramm ausgedruckt und es kann losgehen.
</t>
        </r>
        <r>
          <rPr>
            <b/>
            <sz val="6"/>
            <color indexed="81"/>
            <rFont val="Arial Narrow"/>
            <family val="2"/>
          </rPr>
          <t>Rein ins Diagramm</t>
        </r>
        <r>
          <rPr>
            <sz val="6"/>
            <color indexed="81"/>
            <rFont val="Arial Narrow"/>
            <family val="2"/>
          </rPr>
          <t xml:space="preserve">
Wenn Sie eine Gasheizung haben, lesen Sie in beliebigen Zeitabständen den Zählerstand ab. Statt nun mühsam Zählerdifferenz und Tagesverbrauch zu berechnen, wird der Zählerstand einfach als Punkt in das Diagramm eingetragen. Erinnern Sie sich an den Mathematik-Unterricht, Thema Kurvendiskussion. Auf der waagerechten Kurve bis zum richtigen Datum, dann senkrecht hoch, bis man beim ent-sprechenden Zählerstand landet. An der Stelle machen Sie ein Kreuzchen und ziehen eine Linie zum vorigen Kreuz. Schon können sie Ihre Verbrauchssituation beurteilen. Je flacher die Kurve verläuft, desto weniger mussten Sie heizen.  Der Vergleich mit den drei Kurven zeigt ihnen jederzeit, wie Sie derzeit verbrauchsmässig stehen und auf welchen Endverbrauch Sie zusteuern. 
</t>
        </r>
        <r>
          <rPr>
            <b/>
            <sz val="6"/>
            <color indexed="81"/>
            <rFont val="Arial Narrow"/>
            <family val="2"/>
          </rPr>
          <t>Anschaulichkeit ist Trumpf</t>
        </r>
        <r>
          <rPr>
            <sz val="6"/>
            <color indexed="81"/>
            <rFont val="Arial Narrow"/>
            <family val="2"/>
          </rPr>
          <t xml:space="preserve">
Ein Jahres-Verbrauchs-Diagramm hat gegenüber einer Tabelle einige Vorteile. Mit dem Diagramm kommt man ganz ohne Rechnen aus. Die Lage eingetragenen Punkte verraten den derzeitigen Verbrauch und erlauben den Vergleich zum Vorjahr, Einsparziel und zum Verbrauch ohne Nachzahlung. Der Verlauf der Kurve ermöglicht eine Prognose bis zur nächsten Rechnung. Der gesamten Jahresverbrauch wird mit einem Blick erfasst. Eine Tabelle degegen wird leicht zum Zahlenfriedhof.                         Oliver Stens
</t>
        </r>
      </text>
    </comment>
    <comment ref="D3" authorId="1">
      <text>
        <r>
          <rPr>
            <b/>
            <sz val="8"/>
            <color indexed="81"/>
            <rFont val="Tahoma"/>
            <family val="2"/>
          </rPr>
          <t>Der hier eingegebene Name erscheint auf dem Diagrammkopf.</t>
        </r>
      </text>
    </comment>
    <comment ref="D4" authorId="1">
      <text>
        <r>
          <rPr>
            <b/>
            <sz val="8"/>
            <color indexed="81"/>
            <rFont val="Tahoma"/>
            <family val="2"/>
          </rPr>
          <t>Meistens monatliche Abschlagszahlung in Euro</t>
        </r>
      </text>
    </comment>
    <comment ref="D5" authorId="1">
      <text>
        <r>
          <rPr>
            <b/>
            <sz val="7"/>
            <color indexed="81"/>
            <rFont val="Tahoma"/>
            <family val="2"/>
          </rPr>
          <t>Bei monatlichen Abschlagszahlungen 12 eintragen. Bei 2-monatlichen Zahlungen 6 usw...</t>
        </r>
      </text>
    </comment>
    <comment ref="F7" authorId="0">
      <text>
        <r>
          <rPr>
            <b/>
            <sz val="7"/>
            <color indexed="81"/>
            <rFont val="Tahoma"/>
            <family val="2"/>
          </rPr>
          <t>Datum der ersten Preisänderung</t>
        </r>
      </text>
    </comment>
    <comment ref="F8" authorId="0">
      <text>
        <r>
          <rPr>
            <b/>
            <sz val="7"/>
            <color indexed="81"/>
            <rFont val="Tahoma"/>
            <family val="2"/>
          </rPr>
          <t>Datum der zweiten Preisänderung</t>
        </r>
      </text>
    </comment>
    <comment ref="D9" authorId="0">
      <text>
        <r>
          <rPr>
            <b/>
            <sz val="7"/>
            <color indexed="81"/>
            <rFont val="Tahoma"/>
            <family val="2"/>
          </rPr>
          <t>Der Grundpreis setzt sich meist aus einem Leistungspreis und der Zählermiete zusammen.
Ist der Grundpreis incl MWSt angegeben, kann dieser auch direkt in Zelle D32 eingegeben werden.</t>
        </r>
      </text>
    </comment>
    <comment ref="D12" authorId="0">
      <text>
        <r>
          <rPr>
            <b/>
            <sz val="7"/>
            <color indexed="81"/>
            <rFont val="Tahoma"/>
            <family val="2"/>
          </rPr>
          <t>Wann wurde der Zähler laut Rechnung abgelesen (letztes Ablesedatum)?</t>
        </r>
      </text>
    </comment>
    <comment ref="D13" authorId="0">
      <text>
        <r>
          <rPr>
            <b/>
            <sz val="7"/>
            <color indexed="81"/>
            <rFont val="Tahoma"/>
            <family val="2"/>
          </rPr>
          <t xml:space="preserve">Wie war der Zählerstand am Tag der Ablesung? Hinweis: Ist der Wert nicht abgelesen, sondern vom Versorger nur geschätzt, dann besser den heutigen Wert ablesen und eintragen.
</t>
        </r>
      </text>
    </comment>
    <comment ref="D14" authorId="0">
      <text>
        <r>
          <rPr>
            <b/>
            <sz val="7"/>
            <color indexed="81"/>
            <rFont val="Tahoma"/>
            <family val="2"/>
          </rPr>
          <t>Hier wird ihr Jahresverbrauch in kWh eingegeben, der in der Rechnung steht. Es ist der aktuelle von der jetzigen Rechnung, nicht etwa der vom Jahr davor. 
Da das Diagramm für das kommende Jahr ausgedruckt wird, ist dieser Verbrauch im Diagramm dort der "Vorjahresverbrauch"...</t>
        </r>
      </text>
    </comment>
    <comment ref="D15" authorId="0">
      <text>
        <r>
          <rPr>
            <b/>
            <sz val="7"/>
            <color indexed="81"/>
            <rFont val="Tahoma"/>
            <family val="2"/>
          </rPr>
          <t xml:space="preserve">Wieviel Prozent versuchen sie im nächsten Jahr einsparen. Dieser Wert legt die unterste Vergleichskurve fest. </t>
        </r>
      </text>
    </comment>
    <comment ref="D16" authorId="0">
      <text>
        <r>
          <rPr>
            <b/>
            <sz val="7"/>
            <color indexed="81"/>
            <rFont val="Tahoma"/>
            <family val="2"/>
          </rPr>
          <t>Wenn sie mit Gas auch Warmwasser erzeugen, wird mit diesem Anteil berücksichtigt, dass auch ausserhalb der Heizperiode ein gewisser Verbrauch da ist. Ganz grob liegt er bei 400 kWh pro Person und Jahr.
Nächstes Jahr können sie ihren Anteil vielleicht schon aus dem Diagramm genauer abschätzen...</t>
        </r>
      </text>
    </comment>
    <comment ref="D17" authorId="0">
      <text>
        <r>
          <rPr>
            <b/>
            <sz val="7"/>
            <color indexed="81"/>
            <rFont val="Tahoma"/>
            <family val="2"/>
          </rPr>
          <t>Wer auch mit Gas kocht, trägt hier seinen geschätzten Verbrauch fürs Kochen ein. Ganz grob ist er bei 200 bis 500 kWh pro Jahr.</t>
        </r>
      </text>
    </comment>
  </commentList>
</comments>
</file>

<file path=xl/comments2.xml><?xml version="1.0" encoding="utf-8"?>
<comments xmlns="http://schemas.openxmlformats.org/spreadsheetml/2006/main">
  <authors>
    <author>ollo.</author>
  </authors>
  <commentList>
    <comment ref="C5" authorId="0">
      <text>
        <r>
          <rPr>
            <b/>
            <sz val="7"/>
            <color indexed="81"/>
            <rFont val="Tahoma"/>
            <family val="2"/>
          </rPr>
          <t>Die rechte Achse genauso wie die linke Achse skalieren, dann wird das Eintragen der Werte einfacher.</t>
        </r>
      </text>
    </comment>
  </commentList>
</comments>
</file>

<file path=xl/comments3.xml><?xml version="1.0" encoding="utf-8"?>
<comments xmlns="http://schemas.openxmlformats.org/spreadsheetml/2006/main">
  <authors>
    <author>ollo.</author>
  </authors>
  <commentList>
    <comment ref="B3" authorId="0">
      <text>
        <r>
          <rPr>
            <b/>
            <sz val="7"/>
            <color indexed="81"/>
            <rFont val="Tahoma"/>
            <family val="2"/>
          </rPr>
          <t>Wer will, kann die abgelesenen Zwischen-Zählerstande hier eintragen. Sie werden in Grafik angezeigt. Auch mailen an o.stens@gmx.de</t>
        </r>
        <r>
          <rPr>
            <sz val="7"/>
            <color indexed="81"/>
            <rFont val="Tahoma"/>
            <family val="2"/>
          </rPr>
          <t xml:space="preserve">
</t>
        </r>
      </text>
    </comment>
    <comment ref="E4" authorId="0">
      <text>
        <r>
          <rPr>
            <b/>
            <sz val="7"/>
            <color indexed="81"/>
            <rFont val="Tahoma"/>
            <family val="2"/>
          </rPr>
          <t>Wird als Legendentext verwendet</t>
        </r>
        <r>
          <rPr>
            <sz val="7"/>
            <color indexed="81"/>
            <rFont val="Tahoma"/>
            <family val="2"/>
          </rPr>
          <t xml:space="preserve">
</t>
        </r>
      </text>
    </comment>
    <comment ref="F4" authorId="0">
      <text>
        <r>
          <rPr>
            <b/>
            <sz val="7"/>
            <color indexed="81"/>
            <rFont val="Tahoma"/>
            <family val="2"/>
          </rPr>
          <t>Wird als Legendentext verwendet</t>
        </r>
        <r>
          <rPr>
            <sz val="7"/>
            <color indexed="81"/>
            <rFont val="Tahoma"/>
            <family val="2"/>
          </rPr>
          <t xml:space="preserve">
</t>
        </r>
      </text>
    </comment>
    <comment ref="G4" authorId="0">
      <text>
        <r>
          <rPr>
            <b/>
            <sz val="7"/>
            <color indexed="81"/>
            <rFont val="Tahoma"/>
            <family val="2"/>
          </rPr>
          <t>Wird als Legendentext verwendet</t>
        </r>
        <r>
          <rPr>
            <sz val="7"/>
            <color indexed="81"/>
            <rFont val="Tahoma"/>
            <family val="2"/>
          </rPr>
          <t xml:space="preserve">
</t>
        </r>
      </text>
    </comment>
  </commentList>
</comments>
</file>

<file path=xl/comments4.xml><?xml version="1.0" encoding="utf-8"?>
<comments xmlns="http://schemas.openxmlformats.org/spreadsheetml/2006/main">
  <authors>
    <author>Marc</author>
  </authors>
  <commentList>
    <comment ref="B5" authorId="0">
      <text>
        <r>
          <rPr>
            <sz val="10"/>
            <color indexed="81"/>
            <rFont val="Tahoma"/>
            <family val="2"/>
          </rPr>
          <t>Wenn hier eine Postleitzahl eingetragen ist, wird die zugeordnete Wetterstation aus der "Bekanntmachung der Regeln für Energieverbrauchskennwerte im Wohngebäudebestand vom 26. Juli 2007" des Bundesministeriums für Verkehr, Bau und Stadtentwicklung verwendet. 
Bleibt dieses Feld leer, wird die Station des Auswahlfeldes "Wetterstation" verwendet</t>
        </r>
        <r>
          <rPr>
            <sz val="8"/>
            <color indexed="81"/>
            <rFont val="Tahoma"/>
            <family val="2"/>
          </rPr>
          <t xml:space="preserve">
</t>
        </r>
      </text>
    </comment>
    <comment ref="B9" authorId="0">
      <text>
        <r>
          <rPr>
            <sz val="10"/>
            <color indexed="81"/>
            <rFont val="Tahoma"/>
            <family val="2"/>
          </rPr>
          <t>Standardwert: 20 °C
nach EnEV: 19°C
Bestandsgebäude: ggf. niedriger
Neubau: 20°C oder höher
Klimafaktor nach EnEV: 20°C (wird automatisch verwendet)</t>
        </r>
      </text>
    </comment>
  </commentList>
</comments>
</file>

<file path=xl/sharedStrings.xml><?xml version="1.0" encoding="utf-8"?>
<sst xmlns="http://schemas.openxmlformats.org/spreadsheetml/2006/main" count="293" uniqueCount="178">
  <si>
    <t>Jahres-Verbrauchs-Diagramm</t>
  </si>
  <si>
    <t>Rechnungs-Angaben</t>
  </si>
  <si>
    <t>Gas</t>
  </si>
  <si>
    <t>Neuer monatlicher Abschlag</t>
  </si>
  <si>
    <t>GMA</t>
  </si>
  <si>
    <t>=</t>
  </si>
  <si>
    <t>Euro/Vor.zahlung</t>
  </si>
  <si>
    <t>Zahl der Abschlagszahlungen</t>
  </si>
  <si>
    <t>nA</t>
  </si>
  <si>
    <t>Zahlungen/Jahr</t>
  </si>
  <si>
    <t>gDn</t>
  </si>
  <si>
    <t>Cent/kWh</t>
  </si>
  <si>
    <t>Monatlicher Grundpreis,netto</t>
  </si>
  <si>
    <t>GMGn</t>
  </si>
  <si>
    <t>Euro/Monat</t>
  </si>
  <si>
    <t>Heizwert,Gas</t>
  </si>
  <si>
    <t>hG</t>
  </si>
  <si>
    <t>kWh/m³</t>
  </si>
  <si>
    <t>MWSt</t>
  </si>
  <si>
    <t>Ablesedatum</t>
  </si>
  <si>
    <t>tStart</t>
  </si>
  <si>
    <t>ZStart</t>
  </si>
  <si>
    <t>m³</t>
  </si>
  <si>
    <t>Einsparwunsch</t>
  </si>
  <si>
    <t>p1</t>
  </si>
  <si>
    <t>Umrechnung Cent in Euro</t>
  </si>
  <si>
    <t>Ccent</t>
  </si>
  <si>
    <t>Energieanteil für Warmwasser</t>
  </si>
  <si>
    <t>pWw</t>
  </si>
  <si>
    <t>Energieanteil für Kochen</t>
  </si>
  <si>
    <t>pKoch</t>
  </si>
  <si>
    <t>Energieverbrauch vom Vorjahr</t>
  </si>
  <si>
    <t>Wvor</t>
  </si>
  <si>
    <t>kWh</t>
  </si>
  <si>
    <t>Berechnungen</t>
  </si>
  <si>
    <t>gD</t>
  </si>
  <si>
    <t>Monatlicher Grundpreis</t>
  </si>
  <si>
    <t>GMG</t>
  </si>
  <si>
    <t>Jahresvorauszahlung</t>
  </si>
  <si>
    <t>GJ</t>
  </si>
  <si>
    <t>Euro/Jahr</t>
  </si>
  <si>
    <t>Bezahlte Energiemenge</t>
  </si>
  <si>
    <t>WJ</t>
  </si>
  <si>
    <t>kWh/Jahr</t>
  </si>
  <si>
    <t>Bezahlte Gasmenge</t>
  </si>
  <si>
    <t>m³/Jahr</t>
  </si>
  <si>
    <t>psi/%</t>
  </si>
  <si>
    <t>Verbrauch für Warmwasser und Kochen</t>
  </si>
  <si>
    <t>Wwk</t>
  </si>
  <si>
    <t>VJ</t>
  </si>
  <si>
    <t>Verbrauch für Heizen</t>
  </si>
  <si>
    <t>WHeiz</t>
  </si>
  <si>
    <t>Der Urheber dieses Programms übernimmt keine Haftung für Folgen, die auf eventuelle Fehler zurückzuführen sind.</t>
  </si>
  <si>
    <t>spar</t>
  </si>
  <si>
    <t>normal</t>
  </si>
  <si>
    <t>Woche</t>
  </si>
  <si>
    <t>ni1/Imp</t>
  </si>
  <si>
    <t>ni2/Imp</t>
  </si>
  <si>
    <t>ni3/Imp</t>
  </si>
  <si>
    <t>Prozent Heiz</t>
  </si>
  <si>
    <t>Sum%Ges</t>
  </si>
  <si>
    <t>Datum</t>
  </si>
  <si>
    <t>piHeiz/%</t>
  </si>
  <si>
    <t>Wonr</t>
  </si>
  <si>
    <t>Jahre</t>
  </si>
  <si>
    <t>Datensatz aus Sinusmodell ermittelt</t>
  </si>
  <si>
    <t>Anleitung: In die grünen Felder sollen Ihre Angaben eingetragen werden. Erläuterungen zu der entsprechenden Zelle werden angezeigt, wenn sie mit dem Mauszeiger auf das kleine Dreieck gehen. Nach Eingabe aller Daten gehen Sie auf das Tabellenblatt Zielgrafik und drucken es aus</t>
  </si>
  <si>
    <t>Vorgaben Witterung</t>
  </si>
  <si>
    <t>Rückerstatt. bei Vorjahresverbr.</t>
  </si>
  <si>
    <t>GRE</t>
  </si>
  <si>
    <t>GRV</t>
  </si>
  <si>
    <t>€/a</t>
  </si>
  <si>
    <t>Vergl.Vorjahr</t>
  </si>
  <si>
    <t>°C</t>
  </si>
  <si>
    <t>°C aktuell</t>
  </si>
  <si>
    <t>heizen unter</t>
  </si>
  <si>
    <t>Heizdiff</t>
  </si>
  <si>
    <t>Anteil</t>
  </si>
  <si>
    <t>Summ ant</t>
  </si>
  <si>
    <t>Mainz akt.</t>
  </si>
  <si>
    <t>gDn1</t>
  </si>
  <si>
    <t>gDn2</t>
  </si>
  <si>
    <t>gDn3</t>
  </si>
  <si>
    <t>Cent/kWh Änderung ab</t>
  </si>
  <si>
    <t>t1</t>
  </si>
  <si>
    <t>t2</t>
  </si>
  <si>
    <t>t3</t>
  </si>
  <si>
    <t>Mittlererer Energiepreis</t>
  </si>
  <si>
    <t>Mittlerer Energiepreis, netto</t>
  </si>
  <si>
    <t>Tage</t>
  </si>
  <si>
    <t>Zeitdauer Gaspreis1</t>
  </si>
  <si>
    <t>Zeitdauer Gaspreis2</t>
  </si>
  <si>
    <t>Zeitdauer Gaspreis3</t>
  </si>
  <si>
    <t>Aktueller Gaspreis1, netto</t>
  </si>
  <si>
    <t>Gaspreise * anteilige Zeitdauer</t>
  </si>
  <si>
    <t>Cent/kWh          ab</t>
  </si>
  <si>
    <t>Klimadaten deutscher Stationen</t>
  </si>
  <si>
    <t>Datenquelle: Klimadaten Deutscher Stationen, Deutscher Wetterdienst, Offenbach - www.dwd.de</t>
  </si>
  <si>
    <t>Postleitzahl</t>
  </si>
  <si>
    <t>55218</t>
  </si>
  <si>
    <t xml:space="preserve">Wetterstation     </t>
  </si>
  <si>
    <t xml:space="preserve">Jahr </t>
  </si>
  <si>
    <t xml:space="preserve">Start </t>
  </si>
  <si>
    <t>ausgewählte Station: Trier-Petrisberg</t>
  </si>
  <si>
    <t>Klimazone 8 nach DIN V 4108-6:2003</t>
  </si>
  <si>
    <t>Innentemperatur</t>
  </si>
  <si>
    <t xml:space="preserve"> zur Berechnung der Gradtagszahl</t>
  </si>
  <si>
    <t>Heizgrenztemperatur</t>
  </si>
  <si>
    <t>2007/2008</t>
  </si>
  <si>
    <t>langjähriges Mittel *</t>
  </si>
  <si>
    <t>Gradtagszahl</t>
  </si>
  <si>
    <t>Außen-</t>
  </si>
  <si>
    <t>Außentemp.</t>
  </si>
  <si>
    <t>G20/15</t>
  </si>
  <si>
    <t>Heiztage</t>
  </si>
  <si>
    <t>temperatur</t>
  </si>
  <si>
    <t>an Heiztagen</t>
  </si>
  <si>
    <t>Monat</t>
  </si>
  <si>
    <t>[Kd]</t>
  </si>
  <si>
    <t>[d]</t>
  </si>
  <si>
    <t>[°C]</t>
  </si>
  <si>
    <t>Dezember 2007</t>
  </si>
  <si>
    <t>Januar 2008</t>
  </si>
  <si>
    <t>Februar 2008</t>
  </si>
  <si>
    <t>März 2008</t>
  </si>
  <si>
    <t>April 2008</t>
  </si>
  <si>
    <t>Mai 2008</t>
  </si>
  <si>
    <t>Juni 2008</t>
  </si>
  <si>
    <t>Juli 2008</t>
  </si>
  <si>
    <t>August 2008</t>
  </si>
  <si>
    <t>September 2008</t>
  </si>
  <si>
    <t>Oktober 2008</t>
  </si>
  <si>
    <t>November 2008</t>
  </si>
  <si>
    <t>Jahr</t>
  </si>
  <si>
    <t>* von 1970 - 2007</t>
  </si>
  <si>
    <t>Verhältnis der Gradtagszahl G20/15 2007 zu langjährigem Mittel</t>
  </si>
  <si>
    <t>Verhältnis der Heiztage Ht15 2007 zu langjährigem Mittel</t>
  </si>
  <si>
    <r>
      <t xml:space="preserve">Klimafaktor für Energieverbrauchskennwerte nach EnEV </t>
    </r>
    <r>
      <rPr>
        <vertAlign val="superscript"/>
        <sz val="10"/>
        <rFont val="Arial"/>
        <family val="2"/>
      </rPr>
      <t>1</t>
    </r>
  </si>
  <si>
    <r>
      <t>1</t>
    </r>
    <r>
      <rPr>
        <sz val="8"/>
        <rFont val="Arial"/>
        <family val="2"/>
      </rPr>
      <t xml:space="preserve"> nach der "Bekanntmachung der Regeln für Energieverbrauchskennwerte im Wohngebäudebestand" vom 26. Juli 2007 des BMVBS</t>
    </r>
  </si>
  <si>
    <t>Achtung: Alle Werte sind gerundet angegeben!</t>
  </si>
  <si>
    <t>Institut Wohnen und Umwelt, Dezember 2008</t>
  </si>
  <si>
    <t>Hier werden die Daten von http://www.energieverbraucher.de/files.php?dl_mg_id=1045&amp;file=dl_mg_1220261954.xls eingefügt</t>
  </si>
  <si>
    <t>Tag</t>
  </si>
  <si>
    <t>Halbmonatliche Interpolation zur Kurvenglättung</t>
  </si>
  <si>
    <t>von</t>
  </si>
  <si>
    <t>bis</t>
  </si>
  <si>
    <t>mittleres</t>
  </si>
  <si>
    <t>Repräs.</t>
  </si>
  <si>
    <t>Monatstage</t>
  </si>
  <si>
    <t>Tage Spanne</t>
  </si>
  <si>
    <t>Tage Monat</t>
  </si>
  <si>
    <t>Tage Vormonat</t>
  </si>
  <si>
    <t>davon</t>
  </si>
  <si>
    <t>GTZ Anteil</t>
  </si>
  <si>
    <t>Zählerstand Ablesedatum (lt.Rech)</t>
  </si>
  <si>
    <t xml:space="preserve">               Datum  Zählerstand</t>
  </si>
  <si>
    <t>Gaspreisbremse 2023</t>
  </si>
  <si>
    <t>Cent/kWh      ab Stand</t>
  </si>
  <si>
    <t>Energiepreis nach Gasbremse</t>
  </si>
  <si>
    <t>Energiepreis netto nach Gasbremse</t>
  </si>
  <si>
    <t xml:space="preserve">Cent/kWh      </t>
  </si>
  <si>
    <t>Rückerstatt. bei Vorjahresverbr. nach Gasbremse</t>
  </si>
  <si>
    <t>GRV x</t>
  </si>
  <si>
    <t>K1</t>
  </si>
  <si>
    <t>W1</t>
  </si>
  <si>
    <t>W2</t>
  </si>
  <si>
    <t>W3</t>
  </si>
  <si>
    <t>gD3</t>
  </si>
  <si>
    <t>€</t>
  </si>
  <si>
    <t>Preis Energiemenge1</t>
  </si>
  <si>
    <t>Preis Energiemenge3. ohne Deckel</t>
  </si>
  <si>
    <t>Preis Energiemenge2. mit Deckel</t>
  </si>
  <si>
    <t>Energiemenge1</t>
  </si>
  <si>
    <t>Energiemenge3 ohne Deckel</t>
  </si>
  <si>
    <t>K3</t>
  </si>
  <si>
    <t>Energiemenge2 mit Deckel</t>
  </si>
  <si>
    <t>K2</t>
  </si>
  <si>
    <t>Otto N.</t>
  </si>
</sst>
</file>

<file path=xl/styles.xml><?xml version="1.0" encoding="utf-8"?>
<styleSheet xmlns="http://schemas.openxmlformats.org/spreadsheetml/2006/main">
  <numFmts count="10">
    <numFmt numFmtId="164" formatCode="0.0"/>
    <numFmt numFmtId="165" formatCode="0.000"/>
    <numFmt numFmtId="166" formatCode="d/m/yy"/>
    <numFmt numFmtId="167" formatCode="0.00000"/>
    <numFmt numFmtId="168" formatCode="0.0%"/>
    <numFmt numFmtId="169" formatCode="d/m/yy\ h:mm\ AM/PM"/>
    <numFmt numFmtId="170" formatCode="mmm/yy"/>
    <numFmt numFmtId="171" formatCode="#.0#\ &quot;°C&quot;"/>
    <numFmt numFmtId="172" formatCode="d/m"/>
    <numFmt numFmtId="173" formatCode="#,##0.00\ &quot;€&quot;"/>
  </numFmts>
  <fonts count="28">
    <font>
      <sz val="10"/>
      <name val="Arial"/>
    </font>
    <font>
      <sz val="10"/>
      <name val="Arial"/>
      <family val="2"/>
    </font>
    <font>
      <sz val="8"/>
      <name val="Arial"/>
      <family val="2"/>
    </font>
    <font>
      <b/>
      <sz val="10"/>
      <name val="Arial"/>
      <family val="2"/>
    </font>
    <font>
      <sz val="10"/>
      <name val="Arial"/>
      <family val="2"/>
    </font>
    <font>
      <sz val="8"/>
      <name val="Arial Narrow"/>
      <family val="2"/>
    </font>
    <font>
      <b/>
      <sz val="7"/>
      <color indexed="81"/>
      <name val="Tahoma"/>
      <family val="2"/>
    </font>
    <font>
      <sz val="7"/>
      <color indexed="81"/>
      <name val="Tahoma"/>
      <family val="2"/>
    </font>
    <font>
      <b/>
      <sz val="8"/>
      <color indexed="81"/>
      <name val="Tahoma"/>
      <family val="2"/>
    </font>
    <font>
      <sz val="6"/>
      <name val="Arial Narrow"/>
      <family val="2"/>
    </font>
    <font>
      <b/>
      <sz val="10"/>
      <color indexed="17"/>
      <name val="Arial Narrow"/>
      <family val="2"/>
    </font>
    <font>
      <sz val="6"/>
      <color indexed="81"/>
      <name val="Arial Narrow"/>
      <family val="2"/>
    </font>
    <font>
      <b/>
      <sz val="6"/>
      <color indexed="81"/>
      <name val="Arial Narrow"/>
      <family val="2"/>
    </font>
    <font>
      <sz val="10"/>
      <color indexed="9"/>
      <name val="Arial"/>
      <family val="2"/>
    </font>
    <font>
      <b/>
      <sz val="10"/>
      <name val="Arial Narrow"/>
      <family val="2"/>
    </font>
    <font>
      <sz val="10"/>
      <name val="Arial Narrow"/>
      <family val="2"/>
    </font>
    <font>
      <b/>
      <sz val="10"/>
      <color indexed="10"/>
      <name val="Arial"/>
      <family val="2"/>
    </font>
    <font>
      <sz val="9"/>
      <name val="Arial"/>
      <family val="2"/>
    </font>
    <font>
      <sz val="8"/>
      <name val="Tahoma"/>
      <family val="2"/>
    </font>
    <font>
      <b/>
      <sz val="12"/>
      <color indexed="9"/>
      <name val="Arial"/>
      <family val="2"/>
    </font>
    <font>
      <sz val="8"/>
      <color indexed="9"/>
      <name val="Arial"/>
      <family val="2"/>
    </font>
    <font>
      <b/>
      <sz val="12"/>
      <name val="Arial"/>
      <family val="2"/>
    </font>
    <font>
      <sz val="10"/>
      <color indexed="22"/>
      <name val="Arial"/>
      <family val="2"/>
    </font>
    <font>
      <vertAlign val="superscript"/>
      <sz val="10"/>
      <name val="Arial"/>
      <family val="2"/>
    </font>
    <font>
      <vertAlign val="superscript"/>
      <sz val="8"/>
      <name val="Arial"/>
      <family val="2"/>
    </font>
    <font>
      <sz val="7"/>
      <name val="Arial"/>
      <family val="2"/>
    </font>
    <font>
      <sz val="10"/>
      <color indexed="81"/>
      <name val="Tahoma"/>
      <family val="2"/>
    </font>
    <font>
      <sz val="8"/>
      <color indexed="81"/>
      <name val="Tahoma"/>
      <family val="2"/>
    </font>
  </fonts>
  <fills count="12">
    <fill>
      <patternFill patternType="none"/>
    </fill>
    <fill>
      <patternFill patternType="gray125"/>
    </fill>
    <fill>
      <patternFill patternType="solid">
        <fgColor indexed="42"/>
        <bgColor indexed="64"/>
      </patternFill>
    </fill>
    <fill>
      <patternFill patternType="solid">
        <fgColor indexed="29"/>
        <bgColor indexed="10"/>
      </patternFill>
    </fill>
    <fill>
      <patternFill patternType="solid">
        <fgColor indexed="38"/>
        <bgColor indexed="64"/>
      </patternFill>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dotted">
        <color indexed="22"/>
      </bottom>
      <diagonal/>
    </border>
    <border>
      <left style="dotted">
        <color indexed="64"/>
      </left>
      <right style="dotted">
        <color indexed="64"/>
      </right>
      <top style="dotted">
        <color indexed="64"/>
      </top>
      <bottom style="dotted">
        <color indexed="64"/>
      </bottom>
      <diagonal/>
    </border>
    <border>
      <left/>
      <right style="dotted">
        <color indexed="64"/>
      </right>
      <top/>
      <bottom style="dotted">
        <color indexed="2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dotted">
        <color indexed="22"/>
      </top>
      <bottom style="dotted">
        <color indexed="22"/>
      </bottom>
      <diagonal/>
    </border>
    <border>
      <left style="thin">
        <color indexed="64"/>
      </left>
      <right style="thin">
        <color indexed="64"/>
      </right>
      <top style="dotted">
        <color indexed="22"/>
      </top>
      <bottom style="dotted">
        <color indexed="22"/>
      </bottom>
      <diagonal/>
    </border>
    <border>
      <left style="thin">
        <color indexed="64"/>
      </left>
      <right/>
      <top style="dotted">
        <color indexed="22"/>
      </top>
      <bottom style="dotted">
        <color indexed="22"/>
      </bottom>
      <diagonal/>
    </border>
    <border>
      <left style="thin">
        <color indexed="64"/>
      </left>
      <right/>
      <top/>
      <bottom style="dotted">
        <color indexed="22"/>
      </bottom>
      <diagonal/>
    </border>
    <border>
      <left style="thin">
        <color indexed="64"/>
      </left>
      <right style="thin">
        <color indexed="64"/>
      </right>
      <top style="dotted">
        <color indexed="22"/>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2">
    <xf numFmtId="0" fontId="0" fillId="0" borderId="0"/>
    <xf numFmtId="9" fontId="1" fillId="0" borderId="0" applyFont="0" applyFill="0" applyBorder="0" applyAlignment="0" applyProtection="0"/>
  </cellStyleXfs>
  <cellXfs count="157">
    <xf numFmtId="0" fontId="0" fillId="0" borderId="0" xfId="0"/>
    <xf numFmtId="1" fontId="0" fillId="0" borderId="0" xfId="0" applyNumberFormat="1"/>
    <xf numFmtId="2" fontId="0" fillId="0" borderId="0" xfId="0" applyNumberFormat="1"/>
    <xf numFmtId="166" fontId="0" fillId="0" borderId="0" xfId="0" applyNumberFormat="1"/>
    <xf numFmtId="9" fontId="0" fillId="0" borderId="0" xfId="0" applyNumberFormat="1"/>
    <xf numFmtId="0" fontId="3" fillId="0" borderId="0" xfId="0" applyFont="1"/>
    <xf numFmtId="3" fontId="0" fillId="0" borderId="0" xfId="0" applyNumberFormat="1"/>
    <xf numFmtId="168" fontId="0" fillId="0" borderId="0" xfId="1" applyNumberFormat="1" applyFont="1"/>
    <xf numFmtId="168" fontId="0" fillId="0" borderId="0" xfId="0" applyNumberFormat="1"/>
    <xf numFmtId="2" fontId="0" fillId="2" borderId="1" xfId="0" applyNumberFormat="1" applyFill="1" applyBorder="1" applyProtection="1">
      <protection locked="0"/>
    </xf>
    <xf numFmtId="9" fontId="0" fillId="2" borderId="1" xfId="0" applyNumberFormat="1" applyFill="1" applyBorder="1" applyProtection="1">
      <protection locked="0"/>
    </xf>
    <xf numFmtId="0" fontId="0" fillId="2" borderId="1" xfId="0" applyFill="1" applyBorder="1" applyProtection="1">
      <protection locked="0"/>
    </xf>
    <xf numFmtId="9" fontId="0" fillId="2" borderId="2" xfId="0" applyNumberFormat="1" applyFill="1" applyBorder="1" applyProtection="1">
      <protection locked="0"/>
    </xf>
    <xf numFmtId="1" fontId="0" fillId="2" borderId="1" xfId="0" applyNumberFormat="1" applyFill="1" applyBorder="1" applyProtection="1">
      <protection locked="0"/>
    </xf>
    <xf numFmtId="0" fontId="0" fillId="0" borderId="0" xfId="0" applyAlignment="1">
      <alignment horizontal="right"/>
    </xf>
    <xf numFmtId="0" fontId="0" fillId="0" borderId="0" xfId="0" applyAlignment="1">
      <alignment wrapText="1"/>
    </xf>
    <xf numFmtId="0" fontId="4" fillId="0" borderId="0" xfId="0" applyFont="1"/>
    <xf numFmtId="9" fontId="0" fillId="0" borderId="0" xfId="1" applyFont="1" applyProtection="1">
      <protection locked="0"/>
    </xf>
    <xf numFmtId="2" fontId="0" fillId="0" borderId="0" xfId="0" applyNumberFormat="1" applyProtection="1">
      <protection locked="0"/>
    </xf>
    <xf numFmtId="0" fontId="0" fillId="0" borderId="4" xfId="0" applyBorder="1" applyAlignment="1">
      <alignment wrapText="1"/>
    </xf>
    <xf numFmtId="0" fontId="13" fillId="0" borderId="0" xfId="0" applyFont="1"/>
    <xf numFmtId="0" fontId="15" fillId="0" borderId="0" xfId="0" applyFont="1" applyAlignment="1">
      <alignment horizontal="right"/>
    </xf>
    <xf numFmtId="1" fontId="5" fillId="0" borderId="0" xfId="0" applyNumberFormat="1" applyFont="1" applyAlignment="1">
      <alignment horizontal="right"/>
    </xf>
    <xf numFmtId="0" fontId="2" fillId="3" borderId="4" xfId="0" applyFont="1" applyFill="1" applyBorder="1" applyAlignment="1">
      <alignment wrapText="1"/>
    </xf>
    <xf numFmtId="0" fontId="9" fillId="3" borderId="5" xfId="0" applyFont="1" applyFill="1" applyBorder="1" applyAlignment="1">
      <alignment wrapText="1"/>
    </xf>
    <xf numFmtId="167" fontId="0" fillId="0" borderId="0" xfId="0" applyNumberFormat="1"/>
    <xf numFmtId="165" fontId="0" fillId="0" borderId="0" xfId="0" applyNumberFormat="1"/>
    <xf numFmtId="169" fontId="0" fillId="0" borderId="0" xfId="0" applyNumberFormat="1"/>
    <xf numFmtId="166" fontId="0" fillId="2" borderId="1" xfId="1" applyNumberFormat="1" applyFont="1" applyFill="1" applyBorder="1" applyProtection="1">
      <protection locked="0"/>
    </xf>
    <xf numFmtId="3" fontId="0" fillId="0" borderId="0" xfId="0" applyNumberFormat="1" applyAlignment="1"/>
    <xf numFmtId="0" fontId="16" fillId="0" borderId="0" xfId="0" applyFont="1"/>
    <xf numFmtId="168" fontId="16" fillId="0" borderId="0" xfId="0" applyNumberFormat="1" applyFont="1"/>
    <xf numFmtId="0" fontId="16" fillId="0" borderId="6" xfId="0" applyFont="1" applyBorder="1"/>
    <xf numFmtId="0" fontId="16" fillId="0" borderId="7" xfId="0" applyFont="1" applyBorder="1" applyAlignment="1">
      <alignment wrapText="1"/>
    </xf>
    <xf numFmtId="0" fontId="0" fillId="0" borderId="8" xfId="0" applyBorder="1" applyAlignment="1">
      <alignment wrapText="1"/>
    </xf>
    <xf numFmtId="0" fontId="0" fillId="0" borderId="1" xfId="0" applyFill="1" applyBorder="1" applyProtection="1">
      <protection locked="0"/>
    </xf>
    <xf numFmtId="170" fontId="5" fillId="0" borderId="0" xfId="0" applyNumberFormat="1" applyFont="1" applyAlignment="1">
      <alignment wrapText="1"/>
    </xf>
    <xf numFmtId="9" fontId="0" fillId="0" borderId="0" xfId="1" applyFont="1"/>
    <xf numFmtId="9" fontId="17" fillId="0" borderId="0" xfId="0" applyNumberFormat="1" applyFont="1"/>
    <xf numFmtId="16" fontId="0" fillId="0" borderId="0" xfId="0" applyNumberFormat="1"/>
    <xf numFmtId="0" fontId="0" fillId="0" borderId="0" xfId="0" applyFill="1"/>
    <xf numFmtId="0" fontId="0" fillId="0" borderId="0" xfId="0" applyNumberFormat="1"/>
    <xf numFmtId="0" fontId="19" fillId="4" borderId="0" xfId="0" applyFont="1" applyFill="1" applyAlignment="1" applyProtection="1">
      <alignment horizontal="centerContinuous" vertical="center"/>
      <protection hidden="1"/>
    </xf>
    <xf numFmtId="0" fontId="0" fillId="4" borderId="0" xfId="0" applyFill="1" applyAlignment="1" applyProtection="1">
      <alignment horizontal="centerContinuous" vertical="center"/>
      <protection hidden="1"/>
    </xf>
    <xf numFmtId="0" fontId="20" fillId="4" borderId="0" xfId="0" applyFont="1" applyFill="1" applyAlignment="1" applyProtection="1">
      <alignment horizontal="centerContinuous" vertical="center"/>
      <protection hidden="1"/>
    </xf>
    <xf numFmtId="0" fontId="21" fillId="0" borderId="0" xfId="0" applyFont="1" applyProtection="1">
      <protection hidden="1"/>
    </xf>
    <xf numFmtId="0" fontId="0" fillId="0" borderId="0" xfId="0" applyProtection="1">
      <protection hidden="1"/>
    </xf>
    <xf numFmtId="0" fontId="3" fillId="0" borderId="9" xfId="0" applyFont="1" applyBorder="1" applyAlignment="1" applyProtection="1">
      <alignment horizontal="left" vertical="center"/>
      <protection hidden="1"/>
    </xf>
    <xf numFmtId="49" fontId="4" fillId="5" borderId="10" xfId="0" applyNumberFormat="1" applyFont="1" applyFill="1" applyBorder="1" applyAlignment="1" applyProtection="1">
      <alignment horizontal="center" vertical="center"/>
      <protection locked="0"/>
    </xf>
    <xf numFmtId="0" fontId="3" fillId="0" borderId="9" xfId="0" applyFont="1" applyBorder="1" applyAlignment="1" applyProtection="1">
      <alignment horizontal="right" vertical="center"/>
      <protection hidden="1"/>
    </xf>
    <xf numFmtId="0" fontId="0" fillId="0" borderId="9" xfId="0" applyBorder="1" applyAlignment="1" applyProtection="1">
      <alignment horizontal="left" vertical="center"/>
      <protection hidden="1"/>
    </xf>
    <xf numFmtId="0" fontId="22" fillId="0" borderId="9" xfId="0" applyFont="1" applyBorder="1" applyAlignment="1" applyProtection="1">
      <alignment horizontal="left" vertical="center"/>
      <protection locked="0" hidden="1"/>
    </xf>
    <xf numFmtId="0" fontId="4" fillId="0" borderId="9" xfId="0" applyFont="1" applyBorder="1" applyAlignment="1" applyProtection="1">
      <alignment horizontal="left" vertical="center"/>
      <protection locked="0" hidden="1"/>
    </xf>
    <xf numFmtId="0" fontId="3" fillId="0" borderId="0" xfId="0" applyFont="1" applyBorder="1" applyAlignment="1" applyProtection="1">
      <alignment horizontal="left" vertical="center"/>
      <protection hidden="1"/>
    </xf>
    <xf numFmtId="49" fontId="4" fillId="0" borderId="0" xfId="0" applyNumberFormat="1" applyFont="1" applyFill="1" applyBorder="1" applyAlignment="1" applyProtection="1">
      <alignment horizontal="center" vertical="center"/>
      <protection locked="0"/>
    </xf>
    <xf numFmtId="0" fontId="0" fillId="0" borderId="0" xfId="0" applyAlignment="1">
      <alignment horizontal="left" vertical="center"/>
    </xf>
    <xf numFmtId="0" fontId="3" fillId="0" borderId="0" xfId="0" applyFont="1" applyBorder="1" applyAlignment="1" applyProtection="1">
      <alignment horizontal="right" vertical="center"/>
      <protection hidden="1"/>
    </xf>
    <xf numFmtId="0" fontId="0" fillId="0" borderId="0" xfId="0" applyBorder="1" applyAlignment="1" applyProtection="1">
      <alignment horizontal="left" vertical="center"/>
      <protection hidden="1"/>
    </xf>
    <xf numFmtId="0" fontId="22" fillId="0" borderId="0" xfId="0" applyFont="1" applyBorder="1" applyAlignment="1" applyProtection="1">
      <alignment horizontal="left" vertical="center"/>
      <protection locked="0" hidden="1"/>
    </xf>
    <xf numFmtId="0" fontId="4" fillId="0" borderId="0" xfId="0" applyFont="1" applyBorder="1" applyAlignment="1" applyProtection="1">
      <alignment horizontal="left" vertical="center"/>
      <protection locked="0" hidden="1"/>
    </xf>
    <xf numFmtId="0" fontId="4" fillId="0" borderId="9" xfId="0" applyFont="1" applyBorder="1" applyAlignment="1" applyProtection="1">
      <alignment horizontal="left" vertical="center"/>
      <protection hidden="1"/>
    </xf>
    <xf numFmtId="0" fontId="22" fillId="0" borderId="0" xfId="0" applyFont="1" applyAlignment="1" applyProtection="1">
      <alignment horizontal="left" vertical="center"/>
      <protection locked="0" hidden="1"/>
    </xf>
    <xf numFmtId="0" fontId="4"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4" fillId="0" borderId="11" xfId="0" applyFont="1" applyBorder="1" applyAlignment="1" applyProtection="1">
      <alignment vertical="center"/>
      <protection hidden="1"/>
    </xf>
    <xf numFmtId="171" fontId="4" fillId="5" borderId="10" xfId="0" applyNumberFormat="1" applyFont="1" applyFill="1" applyBorder="1" applyAlignment="1" applyProtection="1">
      <alignment horizontal="center" vertical="center"/>
      <protection locked="0"/>
    </xf>
    <xf numFmtId="0" fontId="0" fillId="0" borderId="0" xfId="0" applyAlignment="1" applyProtection="1">
      <alignment vertical="center"/>
      <protection hidden="1"/>
    </xf>
    <xf numFmtId="0" fontId="3" fillId="0" borderId="0" xfId="0" applyFont="1" applyProtection="1">
      <protection hidden="1"/>
    </xf>
    <xf numFmtId="0" fontId="4" fillId="0" borderId="0" xfId="0" applyFont="1" applyBorder="1" applyAlignment="1" applyProtection="1">
      <alignment vertical="center"/>
      <protection hidden="1"/>
    </xf>
    <xf numFmtId="171" fontId="3" fillId="0" borderId="0" xfId="0" applyNumberFormat="1" applyFont="1" applyFill="1" applyBorder="1" applyAlignment="1" applyProtection="1">
      <alignment horizontal="center" vertical="center"/>
      <protection locked="0" hidden="1"/>
    </xf>
    <xf numFmtId="0" fontId="0" fillId="0" borderId="9" xfId="0" applyBorder="1" applyAlignment="1" applyProtection="1">
      <alignment vertical="center"/>
      <protection hidden="1"/>
    </xf>
    <xf numFmtId="0" fontId="0" fillId="0" borderId="9" xfId="0" applyBorder="1" applyProtection="1">
      <protection hidden="1"/>
    </xf>
    <xf numFmtId="0" fontId="4" fillId="0" borderId="0" xfId="0" applyFont="1" applyProtection="1">
      <protection hidden="1"/>
    </xf>
    <xf numFmtId="0" fontId="3" fillId="2" borderId="12" xfId="0" applyFont="1" applyFill="1" applyBorder="1" applyAlignment="1" applyProtection="1">
      <alignment horizontal="centerContinuous" vertical="center"/>
      <protection hidden="1"/>
    </xf>
    <xf numFmtId="0" fontId="4" fillId="2" borderId="13" xfId="0" applyFont="1" applyFill="1" applyBorder="1" applyAlignment="1" applyProtection="1">
      <alignment horizontal="centerContinuous" vertical="center"/>
      <protection hidden="1"/>
    </xf>
    <xf numFmtId="0" fontId="3" fillId="2" borderId="13" xfId="0" applyFont="1" applyFill="1" applyBorder="1" applyAlignment="1" applyProtection="1">
      <alignment horizontal="centerContinuous" vertical="center"/>
      <protection hidden="1"/>
    </xf>
    <xf numFmtId="0" fontId="3" fillId="2" borderId="14" xfId="0" applyFont="1" applyFill="1" applyBorder="1" applyAlignment="1" applyProtection="1">
      <alignment horizontal="centerContinuous" vertical="center"/>
      <protection hidden="1"/>
    </xf>
    <xf numFmtId="0" fontId="0" fillId="0" borderId="8" xfId="0" applyFill="1" applyBorder="1" applyProtection="1">
      <protection hidden="1"/>
    </xf>
    <xf numFmtId="0" fontId="0" fillId="2" borderId="0" xfId="0" applyFill="1" applyBorder="1" applyAlignment="1" applyProtection="1">
      <alignment horizontal="centerContinuous" vertical="center"/>
      <protection hidden="1"/>
    </xf>
    <xf numFmtId="0" fontId="0" fillId="2" borderId="8" xfId="0" applyFill="1" applyBorder="1" applyAlignment="1" applyProtection="1">
      <alignment horizontal="centerContinuous" vertical="center"/>
      <protection hidden="1"/>
    </xf>
    <xf numFmtId="0" fontId="0" fillId="2" borderId="15" xfId="0" applyFill="1" applyBorder="1" applyAlignment="1" applyProtection="1">
      <alignment horizontal="center"/>
      <protection hidden="1"/>
    </xf>
    <xf numFmtId="0" fontId="0" fillId="2" borderId="6" xfId="0" applyFill="1" applyBorder="1" applyAlignment="1" applyProtection="1">
      <alignment horizontal="centerContinuous" vertical="center"/>
      <protection hidden="1"/>
    </xf>
    <xf numFmtId="0" fontId="0" fillId="2" borderId="3" xfId="0" applyFill="1" applyBorder="1" applyAlignment="1" applyProtection="1">
      <alignment horizontal="centerContinuous" vertical="center"/>
      <protection hidden="1"/>
    </xf>
    <xf numFmtId="0" fontId="0" fillId="2" borderId="8" xfId="0" applyFill="1" applyBorder="1" applyAlignment="1" applyProtection="1">
      <alignment horizontal="center"/>
      <protection hidden="1"/>
    </xf>
    <xf numFmtId="0" fontId="0" fillId="2" borderId="7" xfId="0" applyFill="1" applyBorder="1" applyAlignment="1" applyProtection="1">
      <alignment horizontal="center"/>
      <protection hidden="1"/>
    </xf>
    <xf numFmtId="0" fontId="0" fillId="2" borderId="5"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0" fillId="0" borderId="5" xfId="0" applyFill="1" applyBorder="1" applyProtection="1">
      <protection hidden="1"/>
    </xf>
    <xf numFmtId="0" fontId="0" fillId="2" borderId="17" xfId="0" applyFill="1" applyBorder="1" applyAlignment="1" applyProtection="1">
      <alignment horizontal="center"/>
      <protection hidden="1"/>
    </xf>
    <xf numFmtId="0" fontId="0" fillId="2" borderId="0" xfId="0" applyFill="1" applyBorder="1" applyAlignment="1" applyProtection="1">
      <alignment horizontal="center"/>
      <protection hidden="1"/>
    </xf>
    <xf numFmtId="17" fontId="0" fillId="0" borderId="18" xfId="0" applyNumberFormat="1" applyBorder="1" applyAlignment="1" applyProtection="1">
      <alignment horizontal="left"/>
      <protection hidden="1"/>
    </xf>
    <xf numFmtId="1" fontId="0" fillId="0" borderId="19" xfId="0" applyNumberFormat="1" applyBorder="1" applyAlignment="1" applyProtection="1">
      <alignment horizontal="center"/>
      <protection hidden="1"/>
    </xf>
    <xf numFmtId="1" fontId="0" fillId="0" borderId="20" xfId="0" applyNumberFormat="1" applyBorder="1" applyAlignment="1" applyProtection="1">
      <alignment horizontal="center"/>
      <protection hidden="1"/>
    </xf>
    <xf numFmtId="164" fontId="0" fillId="0" borderId="19" xfId="0" applyNumberFormat="1" applyBorder="1" applyAlignment="1" applyProtection="1">
      <alignment horizontal="center"/>
      <protection hidden="1"/>
    </xf>
    <xf numFmtId="17" fontId="0" fillId="0" borderId="21" xfId="0" applyNumberFormat="1" applyBorder="1" applyAlignment="1" applyProtection="1">
      <alignment horizontal="left"/>
      <protection hidden="1"/>
    </xf>
    <xf numFmtId="1" fontId="0" fillId="0" borderId="22" xfId="0" applyNumberFormat="1" applyBorder="1" applyAlignment="1" applyProtection="1">
      <alignment horizontal="center"/>
      <protection hidden="1"/>
    </xf>
    <xf numFmtId="1" fontId="0" fillId="0" borderId="23" xfId="0" applyNumberFormat="1" applyBorder="1" applyAlignment="1" applyProtection="1">
      <alignment horizontal="center"/>
      <protection hidden="1"/>
    </xf>
    <xf numFmtId="164" fontId="0" fillId="0" borderId="22" xfId="0" applyNumberFormat="1" applyBorder="1" applyAlignment="1" applyProtection="1">
      <alignment horizontal="center"/>
      <protection hidden="1"/>
    </xf>
    <xf numFmtId="1" fontId="0" fillId="0" borderId="24" xfId="0" applyNumberFormat="1" applyBorder="1" applyAlignment="1" applyProtection="1">
      <alignment horizontal="center"/>
      <protection hidden="1"/>
    </xf>
    <xf numFmtId="17" fontId="0" fillId="0" borderId="5" xfId="0" applyNumberFormat="1" applyBorder="1" applyAlignment="1" applyProtection="1">
      <alignment horizontal="left"/>
      <protection hidden="1"/>
    </xf>
    <xf numFmtId="1" fontId="0" fillId="0" borderId="7" xfId="0" applyNumberFormat="1" applyBorder="1" applyAlignment="1" applyProtection="1">
      <alignment horizontal="center"/>
      <protection hidden="1"/>
    </xf>
    <xf numFmtId="164" fontId="0" fillId="0" borderId="16" xfId="0" applyNumberFormat="1" applyBorder="1" applyAlignment="1" applyProtection="1">
      <alignment horizontal="center"/>
      <protection hidden="1"/>
    </xf>
    <xf numFmtId="164" fontId="0" fillId="0" borderId="25" xfId="0" applyNumberFormat="1" applyBorder="1" applyAlignment="1" applyProtection="1">
      <alignment horizontal="center"/>
      <protection hidden="1"/>
    </xf>
    <xf numFmtId="17" fontId="0" fillId="0" borderId="3" xfId="0" applyNumberFormat="1" applyFill="1" applyBorder="1" applyProtection="1">
      <protection hidden="1"/>
    </xf>
    <xf numFmtId="1" fontId="0" fillId="6" borderId="26" xfId="0" applyNumberFormat="1" applyFill="1" applyBorder="1" applyAlignment="1" applyProtection="1">
      <alignment horizontal="center"/>
      <protection hidden="1"/>
    </xf>
    <xf numFmtId="164" fontId="0" fillId="6" borderId="27" xfId="0" applyNumberFormat="1" applyFill="1" applyBorder="1" applyAlignment="1" applyProtection="1">
      <alignment horizontal="center"/>
      <protection hidden="1"/>
    </xf>
    <xf numFmtId="1" fontId="0" fillId="6" borderId="27" xfId="0" applyNumberFormat="1" applyFill="1" applyBorder="1" applyAlignment="1" applyProtection="1">
      <alignment horizontal="center"/>
      <protection hidden="1"/>
    </xf>
    <xf numFmtId="1" fontId="0" fillId="6" borderId="28" xfId="0" applyNumberFormat="1" applyFill="1" applyBorder="1" applyAlignment="1" applyProtection="1">
      <alignment horizontal="center"/>
      <protection hidden="1"/>
    </xf>
    <xf numFmtId="0" fontId="2" fillId="0" borderId="0" xfId="0" applyFont="1" applyAlignment="1" applyProtection="1">
      <alignment horizontal="left"/>
      <protection hidden="1"/>
    </xf>
    <xf numFmtId="0" fontId="0" fillId="0" borderId="11" xfId="0" applyBorder="1" applyProtection="1">
      <protection hidden="1"/>
    </xf>
    <xf numFmtId="2" fontId="0" fillId="7" borderId="10" xfId="0" applyNumberFormat="1" applyFill="1" applyBorder="1" applyAlignment="1" applyProtection="1">
      <alignment horizontal="center"/>
      <protection hidden="1"/>
    </xf>
    <xf numFmtId="0" fontId="0" fillId="0" borderId="0" xfId="0" applyBorder="1" applyProtection="1">
      <protection hidden="1"/>
    </xf>
    <xf numFmtId="2" fontId="0" fillId="0" borderId="29" xfId="0" applyNumberFormat="1" applyFill="1" applyBorder="1" applyAlignment="1" applyProtection="1">
      <alignment horizontal="center"/>
      <protection hidden="1"/>
    </xf>
    <xf numFmtId="2" fontId="0" fillId="2" borderId="10" xfId="0" applyNumberFormat="1" applyFill="1" applyBorder="1" applyAlignment="1" applyProtection="1">
      <alignment horizontal="center"/>
      <protection hidden="1"/>
    </xf>
    <xf numFmtId="2" fontId="0" fillId="0" borderId="0" xfId="0" applyNumberFormat="1" applyFill="1" applyBorder="1" applyAlignment="1" applyProtection="1">
      <alignment horizontal="center"/>
      <protection hidden="1"/>
    </xf>
    <xf numFmtId="0" fontId="24" fillId="0" borderId="0" xfId="0" applyFont="1"/>
    <xf numFmtId="0" fontId="2" fillId="0" borderId="0" xfId="0" applyFont="1"/>
    <xf numFmtId="0" fontId="25" fillId="8" borderId="0" xfId="0" applyFont="1" applyFill="1" applyAlignment="1" applyProtection="1">
      <alignment horizontal="centerContinuous" vertical="center"/>
      <protection hidden="1"/>
    </xf>
    <xf numFmtId="0" fontId="0" fillId="8" borderId="0" xfId="0" applyFill="1" applyAlignment="1" applyProtection="1">
      <alignment horizontal="centerContinuous" vertical="center"/>
      <protection hidden="1"/>
    </xf>
    <xf numFmtId="0" fontId="0" fillId="9" borderId="0" xfId="0" applyFill="1" applyAlignment="1">
      <alignment vertical="top"/>
    </xf>
    <xf numFmtId="0" fontId="0" fillId="9" borderId="0" xfId="0" applyFill="1"/>
    <xf numFmtId="17" fontId="0" fillId="0" borderId="0" xfId="0" applyNumberFormat="1"/>
    <xf numFmtId="172" fontId="0" fillId="0" borderId="0" xfId="0" applyNumberFormat="1"/>
    <xf numFmtId="172" fontId="0" fillId="10" borderId="0" xfId="0" applyNumberFormat="1" applyFill="1"/>
    <xf numFmtId="0" fontId="0" fillId="2" borderId="0" xfId="0" applyFill="1"/>
    <xf numFmtId="14" fontId="0" fillId="2" borderId="0" xfId="0" applyNumberFormat="1" applyFill="1"/>
    <xf numFmtId="14" fontId="0" fillId="0" borderId="0" xfId="0" applyNumberFormat="1" applyFill="1"/>
    <xf numFmtId="172" fontId="0" fillId="2" borderId="0" xfId="0" applyNumberFormat="1" applyFill="1"/>
    <xf numFmtId="0" fontId="0" fillId="10" borderId="0" xfId="0" applyNumberFormat="1" applyFill="1"/>
    <xf numFmtId="0" fontId="0" fillId="2" borderId="0" xfId="0" applyNumberFormat="1" applyFill="1"/>
    <xf numFmtId="1" fontId="0" fillId="2" borderId="0" xfId="0" applyNumberFormat="1" applyFill="1"/>
    <xf numFmtId="0" fontId="0" fillId="10" borderId="0" xfId="0" applyFill="1"/>
    <xf numFmtId="1" fontId="0" fillId="10" borderId="0" xfId="0" applyNumberFormat="1" applyFill="1"/>
    <xf numFmtId="0" fontId="0" fillId="0" borderId="0" xfId="0" applyNumberFormat="1" applyFill="1"/>
    <xf numFmtId="1" fontId="0" fillId="0" borderId="0" xfId="0" applyNumberFormat="1" applyFill="1"/>
    <xf numFmtId="0" fontId="14" fillId="0" borderId="0" xfId="0" applyFont="1" applyAlignment="1">
      <alignment horizontal="center" vertical="center"/>
    </xf>
    <xf numFmtId="0" fontId="17" fillId="0" borderId="0" xfId="0" applyFont="1" applyAlignment="1">
      <alignment vertical="top"/>
    </xf>
    <xf numFmtId="0" fontId="2" fillId="0" borderId="0" xfId="0" applyFont="1" applyAlignment="1">
      <alignment horizontal="right"/>
    </xf>
    <xf numFmtId="1" fontId="0" fillId="0" borderId="0" xfId="0" applyNumberFormat="1" applyAlignment="1">
      <alignment horizontal="right"/>
    </xf>
    <xf numFmtId="0" fontId="1" fillId="0" borderId="0" xfId="0" applyFont="1" applyAlignment="1">
      <alignment horizontal="right"/>
    </xf>
    <xf numFmtId="0" fontId="1" fillId="0" borderId="0" xfId="0" applyFont="1" applyAlignment="1">
      <alignment horizontal="right" vertical="center"/>
    </xf>
    <xf numFmtId="0" fontId="0" fillId="2" borderId="1" xfId="0" applyFill="1" applyBorder="1" applyAlignment="1" applyProtection="1">
      <alignment horizontal="center"/>
      <protection locked="0"/>
    </xf>
    <xf numFmtId="2" fontId="0" fillId="0" borderId="1" xfId="0" applyNumberFormat="1" applyFill="1" applyBorder="1" applyAlignment="1" applyProtection="1">
      <alignment horizontal="center"/>
      <protection locked="0"/>
    </xf>
    <xf numFmtId="2" fontId="1" fillId="2" borderId="1" xfId="0" applyNumberFormat="1" applyFont="1" applyFill="1" applyBorder="1" applyProtection="1">
      <protection locked="0"/>
    </xf>
    <xf numFmtId="0" fontId="1" fillId="0" borderId="0" xfId="0" applyFont="1"/>
    <xf numFmtId="0" fontId="1" fillId="0" borderId="3" xfId="0" applyFont="1" applyBorder="1"/>
    <xf numFmtId="0" fontId="0" fillId="0" borderId="0" xfId="0" applyAlignment="1">
      <alignment horizontal="left"/>
    </xf>
    <xf numFmtId="1" fontId="0" fillId="0" borderId="1" xfId="0" applyNumberFormat="1" applyFill="1" applyBorder="1" applyAlignment="1" applyProtection="1">
      <alignment horizontal="left"/>
      <protection locked="0"/>
    </xf>
    <xf numFmtId="1" fontId="15" fillId="0" borderId="0" xfId="0" applyNumberFormat="1" applyFont="1" applyAlignment="1">
      <alignment horizontal="right"/>
    </xf>
    <xf numFmtId="0" fontId="10" fillId="11" borderId="0" xfId="0" applyFont="1" applyFill="1" applyAlignment="1">
      <alignment horizontal="left" vertical="center" wrapText="1"/>
    </xf>
    <xf numFmtId="0" fontId="15" fillId="0" borderId="0" xfId="0" applyFont="1" applyAlignment="1">
      <alignment horizontal="left" vertical="top" wrapText="1"/>
    </xf>
    <xf numFmtId="0" fontId="15" fillId="0" borderId="0" xfId="0" applyFont="1" applyAlignment="1"/>
    <xf numFmtId="0" fontId="4" fillId="0" borderId="0" xfId="0" applyFont="1" applyAlignment="1" applyProtection="1">
      <alignment vertical="center"/>
      <protection hidden="1"/>
    </xf>
    <xf numFmtId="0" fontId="0" fillId="0" borderId="0" xfId="0" applyAlignment="1" applyProtection="1">
      <alignment vertical="center"/>
      <protection hidden="1"/>
    </xf>
    <xf numFmtId="1" fontId="1" fillId="0" borderId="0" xfId="0" applyNumberFormat="1" applyFont="1"/>
    <xf numFmtId="173" fontId="0" fillId="0" borderId="0" xfId="0" applyNumberFormat="1"/>
    <xf numFmtId="1" fontId="1" fillId="0" borderId="0" xfId="0" applyNumberFormat="1" applyFont="1" applyAlignment="1">
      <alignment horizontal="right"/>
    </xf>
  </cellXfs>
  <cellStyles count="2">
    <cellStyle name="Prozent" xfId="1"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000" b="1" i="0" u="none" strike="noStrike" baseline="0">
                <a:solidFill>
                  <a:srgbClr val="000000"/>
                </a:solidFill>
                <a:latin typeface="Arial"/>
                <a:ea typeface="Arial"/>
                <a:cs typeface="Arial"/>
              </a:defRPr>
            </a:pPr>
            <a:r>
              <a:rPr lang="de-DE"/>
              <a:t>klomplett</a:t>
            </a:r>
          </a:p>
        </c:rich>
      </c:tx>
      <c:layout>
        <c:manualLayout>
          <c:xMode val="edge"/>
          <c:yMode val="edge"/>
          <c:x val="0.46026860776642298"/>
          <c:y val="3.1716482919344834E-2"/>
        </c:manualLayout>
      </c:layout>
      <c:spPr>
        <a:noFill/>
        <a:ln w="25400">
          <a:noFill/>
        </a:ln>
      </c:spPr>
    </c:title>
    <c:plotArea>
      <c:layout>
        <c:manualLayout>
          <c:layoutTarget val="inner"/>
          <c:xMode val="edge"/>
          <c:yMode val="edge"/>
          <c:x val="5.2631612098851074E-2"/>
          <c:y val="4.6641886646095275E-2"/>
          <c:w val="0.88235349695132659"/>
          <c:h val="0.86194206521984262"/>
        </c:manualLayout>
      </c:layout>
      <c:lineChart>
        <c:grouping val="standard"/>
        <c:ser>
          <c:idx val="0"/>
          <c:order val="0"/>
          <c:tx>
            <c:strRef>
              <c:f>'Berechnung der Vergleichskurven'!#REF!</c:f>
              <c:strCache>
                <c:ptCount val="1"/>
                <c:pt idx="0">
                  <c:v>#BEZUG!</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'Berechnung der Vergleichskurven'!#REF!</c:f>
              <c:numCache>
                <c:formatCode>General</c:formatCode>
                <c:ptCount val="1"/>
                <c:pt idx="0">
                  <c:v>1</c:v>
                </c:pt>
              </c:numCache>
            </c:numRef>
          </c:cat>
          <c:val>
            <c:numRef>
              <c:f>'Berechnung der Vergleichskurven'!#REF!</c:f>
              <c:numCache>
                <c:formatCode>General</c:formatCode>
                <c:ptCount val="1"/>
                <c:pt idx="0">
                  <c:v>1</c:v>
                </c:pt>
              </c:numCache>
            </c:numRef>
          </c:val>
        </c:ser>
        <c:ser>
          <c:idx val="1"/>
          <c:order val="1"/>
          <c:tx>
            <c:strRef>
              <c:f>'Berechnung der Vergleichskurven'!#REF!</c:f>
              <c:strCache>
                <c:ptCount val="1"/>
                <c:pt idx="0">
                  <c:v>#BEZUG!</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2"/>
          <c:order val="2"/>
          <c:tx>
            <c:strRef>
              <c:f>'Berechnung der Vergleichskurven'!#REF!</c:f>
              <c:strCache>
                <c:ptCount val="1"/>
                <c:pt idx="0">
                  <c:v>#BEZUG!</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3"/>
          <c:order val="3"/>
          <c:tx>
            <c:strRef>
              <c:f>'Berechnung der Vergleichskurven'!#REF!</c:f>
              <c:strCache>
                <c:ptCount val="1"/>
                <c:pt idx="0">
                  <c:v>#BEZUG!</c:v>
                </c:pt>
              </c:strCache>
            </c:strRef>
          </c:tx>
          <c:spPr>
            <a:ln w="12700">
              <a:solidFill>
                <a:srgbClr val="00FFFF"/>
              </a:solidFill>
              <a:prstDash val="solid"/>
            </a:ln>
          </c:spPr>
          <c:marker>
            <c:symbol val="x"/>
            <c:size val="5"/>
            <c:spPr>
              <a:noFill/>
              <a:ln>
                <a:solidFill>
                  <a:srgbClr val="00FFFF"/>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4"/>
          <c:order val="4"/>
          <c:tx>
            <c:strRef>
              <c:f>'Berechnung der Vergleichskurven'!#REF!</c:f>
              <c:strCache>
                <c:ptCount val="1"/>
                <c:pt idx="0">
                  <c:v>#BEZUG!</c:v>
                </c:pt>
              </c:strCache>
            </c:strRef>
          </c:tx>
          <c:spPr>
            <a:ln w="12700">
              <a:solidFill>
                <a:srgbClr val="800080"/>
              </a:solidFill>
              <a:prstDash val="solid"/>
            </a:ln>
          </c:spPr>
          <c:marker>
            <c:symbol val="star"/>
            <c:size val="5"/>
            <c:spPr>
              <a:noFill/>
              <a:ln>
                <a:solidFill>
                  <a:srgbClr val="800080"/>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6"/>
          <c:order val="6"/>
          <c:tx>
            <c:strRef>
              <c:f>'Berechnung der Vergleichskurven'!#REF!</c:f>
              <c:strCache>
                <c:ptCount val="1"/>
                <c:pt idx="0">
                  <c:v>#BEZUG!</c:v>
                </c:pt>
              </c:strCache>
            </c:strRef>
          </c:tx>
          <c:spPr>
            <a:ln w="12700">
              <a:solidFill>
                <a:srgbClr val="008080"/>
              </a:solidFill>
              <a:prstDash val="solid"/>
            </a:ln>
          </c:spPr>
          <c:marker>
            <c:symbol val="plus"/>
            <c:size val="5"/>
            <c:spPr>
              <a:noFill/>
              <a:ln>
                <a:solidFill>
                  <a:srgbClr val="008080"/>
                </a:solidFill>
                <a:prstDash val="solid"/>
              </a:ln>
            </c:spPr>
          </c:marker>
          <c:cat>
            <c:numRef>
              <c:f>'Berechnung der Vergleichskurven'!#REF!</c:f>
              <c:numCache>
                <c:formatCode>General</c:formatCode>
                <c:ptCount val="1"/>
                <c:pt idx="0">
                  <c:v>1</c:v>
                </c:pt>
              </c:numCache>
            </c:numRef>
          </c:cat>
          <c:val>
            <c:numRef>
              <c:f>'Berechnung der Vergleichskurven'!#REF!</c:f>
              <c:numCache>
                <c:formatCode>General</c:formatCode>
                <c:ptCount val="1"/>
                <c:pt idx="0">
                  <c:v>1</c:v>
                </c:pt>
              </c:numCache>
            </c:numRef>
          </c:val>
        </c:ser>
        <c:ser>
          <c:idx val="7"/>
          <c:order val="7"/>
          <c:tx>
            <c:strRef>
              <c:f>'Berechnung der Vergleichskurven'!#REF!</c:f>
              <c:strCache>
                <c:ptCount val="1"/>
                <c:pt idx="0">
                  <c:v>#BEZUG!</c:v>
                </c:pt>
              </c:strCache>
            </c:strRef>
          </c:tx>
          <c:spPr>
            <a:ln w="12700">
              <a:solidFill>
                <a:srgbClr val="0000FF"/>
              </a:solidFill>
              <a:prstDash val="solid"/>
            </a:ln>
          </c:spPr>
          <c:marker>
            <c:symbol val="dot"/>
            <c:size val="5"/>
            <c:spPr>
              <a:noFill/>
              <a:ln>
                <a:solidFill>
                  <a:srgbClr val="0000FF"/>
                </a:solidFill>
                <a:prstDash val="solid"/>
              </a:ln>
            </c:spPr>
          </c:marker>
          <c:cat>
            <c:numRef>
              <c:f>'Berechnung der Vergleichskurven'!#REF!</c:f>
              <c:numCache>
                <c:formatCode>General</c:formatCode>
                <c:ptCount val="1"/>
                <c:pt idx="0">
                  <c:v>1</c:v>
                </c:pt>
              </c:numCache>
            </c:numRef>
          </c:cat>
          <c:val>
            <c:numRef>
              <c:f>'Berechnung der Vergleichskurven'!#REF!</c:f>
              <c:numCache>
                <c:formatCode>General</c:formatCode>
                <c:ptCount val="1"/>
                <c:pt idx="0">
                  <c:v>1</c:v>
                </c:pt>
              </c:numCache>
            </c:numRef>
          </c:val>
        </c:ser>
        <c:ser>
          <c:idx val="8"/>
          <c:order val="8"/>
          <c:tx>
            <c:strRef>
              <c:f>'Berechnung der Vergleichskurven'!#REF!</c:f>
              <c:strCache>
                <c:ptCount val="1"/>
                <c:pt idx="0">
                  <c:v>#BEZUG!</c:v>
                </c:pt>
              </c:strCache>
            </c:strRef>
          </c:tx>
          <c:spPr>
            <a:ln w="12700">
              <a:solidFill>
                <a:srgbClr val="00CCFF"/>
              </a:solidFill>
              <a:prstDash val="solid"/>
            </a:ln>
          </c:spPr>
          <c:marker>
            <c:symbol val="dash"/>
            <c:size val="5"/>
            <c:spPr>
              <a:noFill/>
              <a:ln>
                <a:solidFill>
                  <a:srgbClr val="00CCFF"/>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9"/>
          <c:order val="9"/>
          <c:tx>
            <c:strRef>
              <c:f>'Berechnung der Vergleichskurven'!#REF!</c:f>
              <c:strCache>
                <c:ptCount val="1"/>
                <c:pt idx="0">
                  <c:v>#BEZUG!</c:v>
                </c:pt>
              </c:strCache>
            </c:strRef>
          </c:tx>
          <c:spPr>
            <a:ln w="12700">
              <a:solidFill>
                <a:srgbClr val="69FFFF"/>
              </a:solidFill>
              <a:prstDash val="solid"/>
            </a:ln>
          </c:spPr>
          <c:marker>
            <c:symbol val="diamond"/>
            <c:size val="5"/>
            <c:spPr>
              <a:solidFill>
                <a:srgbClr val="69FFFF"/>
              </a:solidFill>
              <a:ln>
                <a:solidFill>
                  <a:srgbClr val="69FFFF"/>
                </a:solidFill>
                <a:prstDash val="solid"/>
              </a:ln>
            </c:spPr>
          </c:marker>
          <c:cat>
            <c:numRef>
              <c:f>'Berechnung der Vergleichskurven'!#REF!</c:f>
              <c:numCache>
                <c:formatCode>General</c:formatCode>
                <c:ptCount val="1"/>
                <c:pt idx="0">
                  <c:v>1</c:v>
                </c:pt>
              </c:numCache>
            </c:numRef>
          </c:cat>
          <c:val>
            <c:numRef>
              <c:f>'Berechnung der Vergleichskurven'!#REF!</c:f>
              <c:numCache>
                <c:formatCode>General</c:formatCode>
                <c:ptCount val="1"/>
                <c:pt idx="0">
                  <c:v>1</c:v>
                </c:pt>
              </c:numCache>
            </c:numRef>
          </c:val>
        </c:ser>
        <c:ser>
          <c:idx val="10"/>
          <c:order val="10"/>
          <c:tx>
            <c:strRef>
              <c:f>'Berechnung der Vergleichskurven'!#REF!</c:f>
              <c:strCache>
                <c:ptCount val="1"/>
                <c:pt idx="0">
                  <c:v>#BEZUG!</c:v>
                </c:pt>
              </c:strCache>
            </c:strRef>
          </c:tx>
          <c:spPr>
            <a:ln w="12700">
              <a:solidFill>
                <a:srgbClr val="CCFFCC"/>
              </a:solidFill>
              <a:prstDash val="solid"/>
            </a:ln>
          </c:spPr>
          <c:marker>
            <c:symbol val="square"/>
            <c:size val="5"/>
            <c:spPr>
              <a:solidFill>
                <a:srgbClr val="CCFFCC"/>
              </a:solidFill>
              <a:ln>
                <a:solidFill>
                  <a:srgbClr val="CCFFCC"/>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11"/>
          <c:order val="11"/>
          <c:tx>
            <c:strRef>
              <c:f>'Berechnung der Vergleichskurven'!#REF!</c:f>
              <c:strCache>
                <c:ptCount val="1"/>
                <c:pt idx="0">
                  <c:v>#BEZUG!</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12"/>
          <c:order val="12"/>
          <c:tx>
            <c:strRef>
              <c:f>'Berechnung der Vergleichskurven'!#REF!</c:f>
              <c:strCache>
                <c:ptCount val="1"/>
                <c:pt idx="0">
                  <c:v>#BEZUG!</c:v>
                </c:pt>
              </c:strCache>
            </c:strRef>
          </c:tx>
          <c:spPr>
            <a:ln w="12700">
              <a:solidFill>
                <a:srgbClr val="A6CAF0"/>
              </a:solidFill>
              <a:prstDash val="solid"/>
            </a:ln>
          </c:spPr>
          <c:marker>
            <c:symbol val="x"/>
            <c:size val="5"/>
            <c:spPr>
              <a:noFill/>
              <a:ln>
                <a:solidFill>
                  <a:srgbClr val="A6CAF0"/>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ser>
          <c:idx val="13"/>
          <c:order val="13"/>
          <c:tx>
            <c:strRef>
              <c:f>'Berechnung der Vergleichskurven'!#REF!</c:f>
              <c:strCache>
                <c:ptCount val="1"/>
                <c:pt idx="0">
                  <c:v>#BEZUG!</c:v>
                </c:pt>
              </c:strCache>
            </c:strRef>
          </c:tx>
          <c:spPr>
            <a:ln w="12700">
              <a:solidFill>
                <a:srgbClr val="CC9CCC"/>
              </a:solidFill>
              <a:prstDash val="solid"/>
            </a:ln>
          </c:spPr>
          <c:marker>
            <c:symbol val="star"/>
            <c:size val="5"/>
            <c:spPr>
              <a:noFill/>
              <a:ln>
                <a:solidFill>
                  <a:srgbClr val="CC9CCC"/>
                </a:solidFill>
                <a:prstDash val="solid"/>
              </a:ln>
            </c:spPr>
          </c:marker>
          <c:cat>
            <c:numRef>
              <c:f>'Berechnung der Vergleichskurven'!#REF!</c:f>
              <c:numCache>
                <c:formatCode>General</c:formatCode>
                <c:ptCount val="1"/>
                <c:pt idx="0">
                  <c:v>1</c:v>
                </c:pt>
              </c:numCache>
            </c:numRef>
          </c:cat>
          <c:val>
            <c:numRef>
              <c:f>'Berechnung der Vergleichskurven'!#REF!</c:f>
              <c:numCache>
                <c:formatCode>General</c:formatCode>
                <c:ptCount val="1"/>
                <c:pt idx="0">
                  <c:v>1</c:v>
                </c:pt>
              </c:numCache>
            </c:numRef>
          </c:val>
        </c:ser>
        <c:marker val="1"/>
        <c:axId val="141855744"/>
        <c:axId val="141870976"/>
      </c:lineChart>
      <c:lineChart>
        <c:grouping val="standard"/>
        <c:ser>
          <c:idx val="5"/>
          <c:order val="5"/>
          <c:tx>
            <c:strRef>
              <c:f>'Berechnung der Vergleichskurven'!#REF!</c:f>
              <c:strCache>
                <c:ptCount val="1"/>
                <c:pt idx="0">
                  <c:v>#BEZUG!</c:v>
                </c:pt>
              </c:strCache>
            </c:strRef>
          </c:tx>
          <c:spPr>
            <a:ln w="12700">
              <a:solidFill>
                <a:srgbClr val="800000"/>
              </a:solidFill>
              <a:prstDash val="solid"/>
            </a:ln>
          </c:spPr>
          <c:marker>
            <c:symbol val="circle"/>
            <c:size val="5"/>
            <c:spPr>
              <a:solidFill>
                <a:srgbClr val="800000"/>
              </a:solidFill>
              <a:ln>
                <a:solidFill>
                  <a:srgbClr val="800000"/>
                </a:solidFill>
                <a:prstDash val="solid"/>
              </a:ln>
            </c:spPr>
          </c:marker>
          <c:cat>
            <c:numRef>
              <c:f>'Berechnung der Vergleichskurven'!#REF!</c:f>
              <c:numCache>
                <c:formatCode>General</c:formatCode>
                <c:ptCount val="1"/>
                <c:pt idx="0">
                  <c:v>1</c:v>
                </c:pt>
              </c:numCache>
            </c:numRef>
          </c:cat>
          <c:val>
            <c:numRef>
              <c:f>'Berechnung der Vergleichskurven'!#REF!</c:f>
              <c:numCache>
                <c:formatCode>#,##0</c:formatCode>
                <c:ptCount val="1"/>
                <c:pt idx="0">
                  <c:v>1</c:v>
                </c:pt>
              </c:numCache>
            </c:numRef>
          </c:val>
        </c:ser>
        <c:marker val="1"/>
        <c:axId val="141881344"/>
        <c:axId val="141882880"/>
      </c:lineChart>
      <c:catAx>
        <c:axId val="141855744"/>
        <c:scaling>
          <c:orientation val="minMax"/>
        </c:scaling>
        <c:axPos val="b"/>
        <c:majorGridlines>
          <c:spPr>
            <a:ln w="3175">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de-DE"/>
                  <a:t>z</a:t>
                </a:r>
              </a:p>
            </c:rich>
          </c:tx>
          <c:layout>
            <c:manualLayout>
              <c:xMode val="edge"/>
              <c:yMode val="edge"/>
              <c:x val="0.97007285044941405"/>
              <c:y val="0.9253750310585338"/>
            </c:manualLayout>
          </c:layout>
          <c:spPr>
            <a:noFill/>
            <a:ln w="25400">
              <a:noFill/>
            </a:ln>
          </c:spPr>
        </c:title>
        <c:numFmt formatCode="d/m/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Arial Narrow"/>
                <a:ea typeface="Arial Narrow"/>
                <a:cs typeface="Arial Narrow"/>
              </a:defRPr>
            </a:pPr>
            <a:endParaRPr lang="de-DE"/>
          </a:p>
        </c:txPr>
        <c:crossAx val="141870976"/>
        <c:crosses val="autoZero"/>
        <c:lblAlgn val="ctr"/>
        <c:lblOffset val="100"/>
        <c:tickLblSkip val="1"/>
        <c:tickMarkSkip val="1"/>
      </c:catAx>
      <c:valAx>
        <c:axId val="141870976"/>
        <c:scaling>
          <c:orientation val="minMax"/>
        </c:scaling>
        <c:axPos val="l"/>
        <c:majorGridlines>
          <c:spPr>
            <a:ln w="3175">
              <a:solidFill>
                <a:srgbClr val="000000"/>
              </a:solidFill>
              <a:prstDash val="solid"/>
            </a:ln>
          </c:spPr>
        </c:majorGridlines>
        <c:minorGridlines>
          <c:spPr>
            <a:ln w="3175">
              <a:solidFill>
                <a:srgbClr val="000000"/>
              </a:solidFill>
              <a:prstDash val="sysDash"/>
            </a:ln>
          </c:spPr>
        </c:minorGridlines>
        <c:title>
          <c:tx>
            <c:rich>
              <a:bodyPr rot="0" vert="horz"/>
              <a:lstStyle/>
              <a:p>
                <a:pPr algn="ctr">
                  <a:defRPr sz="1200" b="0" i="0" u="none" strike="noStrike" baseline="0">
                    <a:solidFill>
                      <a:srgbClr val="000000"/>
                    </a:solidFill>
                    <a:latin typeface="Arial"/>
                    <a:ea typeface="Arial"/>
                    <a:cs typeface="Arial"/>
                  </a:defRPr>
                </a:pPr>
                <a:r>
                  <a:rPr lang="de-DE"/>
                  <a:t>z</a:t>
                </a:r>
              </a:p>
            </c:rich>
          </c:tx>
          <c:layout>
            <c:manualLayout>
              <c:xMode val="edge"/>
              <c:yMode val="edge"/>
              <c:x val="3.6119733793329202E-2"/>
              <c:y val="1.3059728260906707E-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1855744"/>
        <c:crosses val="autoZero"/>
        <c:crossBetween val="between"/>
        <c:minorUnit val="1000"/>
      </c:valAx>
      <c:catAx>
        <c:axId val="141881344"/>
        <c:scaling>
          <c:orientation val="minMax"/>
        </c:scaling>
        <c:delete val="1"/>
        <c:axPos val="b"/>
        <c:numFmt formatCode="General" sourceLinked="1"/>
        <c:tickLblPos val="nextTo"/>
        <c:crossAx val="141882880"/>
        <c:crosses val="autoZero"/>
        <c:lblAlgn val="ctr"/>
        <c:lblOffset val="100"/>
      </c:catAx>
      <c:valAx>
        <c:axId val="141882880"/>
        <c:scaling>
          <c:orientation val="minMax"/>
        </c:scaling>
        <c:axPos val="r"/>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1881344"/>
        <c:crosses val="max"/>
        <c:crossBetween val="between"/>
      </c:valAx>
      <c:spPr>
        <a:noFill/>
        <a:ln w="12700">
          <a:solidFill>
            <a:srgbClr val="808080"/>
          </a:solidFill>
          <a:prstDash val="solid"/>
        </a:ln>
      </c:spPr>
    </c:plotArea>
    <c:legend>
      <c:legendPos val="r"/>
      <c:layout>
        <c:manualLayout>
          <c:xMode val="edge"/>
          <c:yMode val="edge"/>
          <c:x val="0.30340576386396662"/>
          <c:y val="0.33582158385188876"/>
          <c:w val="0.12074311010912893"/>
          <c:h val="0.6548520885111807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chart>
  <c:spPr>
    <a:solidFill>
      <a:srgbClr val="FFFFFF"/>
    </a:solidFill>
    <a:ln w="9525">
      <a:noFill/>
    </a:ln>
  </c:spPr>
  <c:txPr>
    <a:bodyPr/>
    <a:lstStyle/>
    <a:p>
      <a:pPr>
        <a:defRPr sz="265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78" footer="0.49212598450000078"/>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400" b="1" i="0" u="none" strike="noStrike" baseline="0">
                <a:solidFill>
                  <a:srgbClr val="0000FF"/>
                </a:solidFill>
                <a:latin typeface="Arial Narrow"/>
                <a:ea typeface="Arial Narrow"/>
                <a:cs typeface="Arial Narrow"/>
              </a:defRPr>
            </a:pPr>
            <a:r>
              <a:rPr lang="de-DE"/>
              <a:t>Jahres-Verlaufskurve Gasverbrauch</a:t>
            </a:r>
          </a:p>
        </c:rich>
      </c:tx>
      <c:layout>
        <c:manualLayout>
          <c:xMode val="edge"/>
          <c:yMode val="edge"/>
          <c:x val="0.10196919609732294"/>
          <c:y val="8.2933247642922384E-2"/>
        </c:manualLayout>
      </c:layout>
      <c:spPr>
        <a:noFill/>
        <a:ln w="25400">
          <a:noFill/>
        </a:ln>
      </c:spPr>
    </c:title>
    <c:plotArea>
      <c:layout>
        <c:manualLayout>
          <c:layoutTarget val="inner"/>
          <c:xMode val="edge"/>
          <c:yMode val="edge"/>
          <c:x val="6.6455764660556638E-2"/>
          <c:y val="0.15337426184423941"/>
          <c:w val="0.88607686214075498"/>
          <c:h val="0.75460136827365865"/>
        </c:manualLayout>
      </c:layout>
      <c:lineChart>
        <c:grouping val="standard"/>
        <c:ser>
          <c:idx val="6"/>
          <c:order val="0"/>
          <c:tx>
            <c:strRef>
              <c:f>'Berechnung der Vergleichskurven'!$E$4</c:f>
              <c:strCache>
                <c:ptCount val="1"/>
                <c:pt idx="0">
                  <c:v>20% Mehrverbr. zu 2021/2022</c:v>
                </c:pt>
              </c:strCache>
            </c:strRef>
          </c:tx>
          <c:spPr>
            <a:ln w="25400">
              <a:solidFill>
                <a:srgbClr val="FF0000"/>
              </a:solidFill>
              <a:prstDash val="solid"/>
            </a:ln>
          </c:spPr>
          <c:marker>
            <c:symbol val="none"/>
          </c:marker>
          <c:cat>
            <c:numRef>
              <c:f>'Berechnung der Vergleichskurven'!$A$5:$A$187</c:f>
              <c:numCache>
                <c:formatCode>d/m/yy</c:formatCode>
                <c:ptCount val="183"/>
                <c:pt idx="0">
                  <c:v>44847</c:v>
                </c:pt>
                <c:pt idx="1">
                  <c:v>44854</c:v>
                </c:pt>
                <c:pt idx="2">
                  <c:v>44861</c:v>
                </c:pt>
                <c:pt idx="3">
                  <c:v>44868</c:v>
                </c:pt>
                <c:pt idx="4">
                  <c:v>44875</c:v>
                </c:pt>
                <c:pt idx="5">
                  <c:v>44882</c:v>
                </c:pt>
                <c:pt idx="6">
                  <c:v>44889</c:v>
                </c:pt>
                <c:pt idx="7">
                  <c:v>44896</c:v>
                </c:pt>
                <c:pt idx="8">
                  <c:v>44903</c:v>
                </c:pt>
                <c:pt idx="9">
                  <c:v>44910</c:v>
                </c:pt>
                <c:pt idx="10">
                  <c:v>44917</c:v>
                </c:pt>
                <c:pt idx="11">
                  <c:v>44924</c:v>
                </c:pt>
                <c:pt idx="12">
                  <c:v>44931</c:v>
                </c:pt>
                <c:pt idx="13">
                  <c:v>44938</c:v>
                </c:pt>
                <c:pt idx="14">
                  <c:v>44945</c:v>
                </c:pt>
                <c:pt idx="15">
                  <c:v>44952</c:v>
                </c:pt>
                <c:pt idx="16">
                  <c:v>44959</c:v>
                </c:pt>
                <c:pt idx="17">
                  <c:v>44966</c:v>
                </c:pt>
                <c:pt idx="18">
                  <c:v>44973</c:v>
                </c:pt>
                <c:pt idx="19">
                  <c:v>44980</c:v>
                </c:pt>
                <c:pt idx="20">
                  <c:v>44987</c:v>
                </c:pt>
                <c:pt idx="21">
                  <c:v>44994</c:v>
                </c:pt>
                <c:pt idx="22">
                  <c:v>45001</c:v>
                </c:pt>
                <c:pt idx="23">
                  <c:v>45008</c:v>
                </c:pt>
                <c:pt idx="24">
                  <c:v>45015</c:v>
                </c:pt>
                <c:pt idx="25">
                  <c:v>45022</c:v>
                </c:pt>
                <c:pt idx="26">
                  <c:v>45029</c:v>
                </c:pt>
                <c:pt idx="27">
                  <c:v>45036</c:v>
                </c:pt>
                <c:pt idx="28">
                  <c:v>45043</c:v>
                </c:pt>
                <c:pt idx="29">
                  <c:v>45050</c:v>
                </c:pt>
                <c:pt idx="30">
                  <c:v>45057</c:v>
                </c:pt>
                <c:pt idx="31">
                  <c:v>45064</c:v>
                </c:pt>
                <c:pt idx="32">
                  <c:v>45071</c:v>
                </c:pt>
                <c:pt idx="33">
                  <c:v>45078</c:v>
                </c:pt>
                <c:pt idx="34">
                  <c:v>45085</c:v>
                </c:pt>
                <c:pt idx="35">
                  <c:v>45092</c:v>
                </c:pt>
                <c:pt idx="36">
                  <c:v>45099</c:v>
                </c:pt>
                <c:pt idx="37">
                  <c:v>45106</c:v>
                </c:pt>
                <c:pt idx="38">
                  <c:v>45113</c:v>
                </c:pt>
                <c:pt idx="39">
                  <c:v>45120</c:v>
                </c:pt>
                <c:pt idx="40">
                  <c:v>45127</c:v>
                </c:pt>
                <c:pt idx="41">
                  <c:v>45134</c:v>
                </c:pt>
                <c:pt idx="42">
                  <c:v>45141</c:v>
                </c:pt>
                <c:pt idx="43">
                  <c:v>45148</c:v>
                </c:pt>
                <c:pt idx="44">
                  <c:v>45155</c:v>
                </c:pt>
                <c:pt idx="45">
                  <c:v>45162</c:v>
                </c:pt>
                <c:pt idx="46">
                  <c:v>45169</c:v>
                </c:pt>
                <c:pt idx="47">
                  <c:v>45176</c:v>
                </c:pt>
                <c:pt idx="48">
                  <c:v>45183</c:v>
                </c:pt>
                <c:pt idx="49">
                  <c:v>45190</c:v>
                </c:pt>
                <c:pt idx="50">
                  <c:v>45197</c:v>
                </c:pt>
                <c:pt idx="51">
                  <c:v>45204</c:v>
                </c:pt>
                <c:pt idx="52">
                  <c:v>45211</c:v>
                </c:pt>
              </c:numCache>
            </c:numRef>
          </c:cat>
          <c:val>
            <c:numRef>
              <c:f>'Berechnung der Vergleichskurven'!$E$5:$E$187</c:f>
              <c:numCache>
                <c:formatCode>0</c:formatCode>
                <c:ptCount val="183"/>
                <c:pt idx="0">
                  <c:v>1587</c:v>
                </c:pt>
                <c:pt idx="1">
                  <c:v>1628.6396659988391</c:v>
                </c:pt>
                <c:pt idx="2">
                  <c:v>1680.0213466938451</c:v>
                </c:pt>
                <c:pt idx="3">
                  <c:v>1747.6090441019433</c:v>
                </c:pt>
                <c:pt idx="4">
                  <c:v>1829.0876129784058</c:v>
                </c:pt>
                <c:pt idx="5">
                  <c:v>1926.7721985679602</c:v>
                </c:pt>
                <c:pt idx="6">
                  <c:v>2038.3476556258793</c:v>
                </c:pt>
                <c:pt idx="7">
                  <c:v>2154.5534031732532</c:v>
                </c:pt>
                <c:pt idx="8">
                  <c:v>2273.0742959653544</c:v>
                </c:pt>
                <c:pt idx="9">
                  <c:v>2393.9103340021829</c:v>
                </c:pt>
                <c:pt idx="10">
                  <c:v>2514.7463720390115</c:v>
                </c:pt>
                <c:pt idx="11">
                  <c:v>2633.2672648311127</c:v>
                </c:pt>
                <c:pt idx="12">
                  <c:v>2751.7881576232139</c:v>
                </c:pt>
                <c:pt idx="13">
                  <c:v>2865.6787599258605</c:v>
                </c:pt>
                <c:pt idx="14">
                  <c:v>2974.9390717390525</c:v>
                </c:pt>
                <c:pt idx="15">
                  <c:v>3077.2539478180615</c:v>
                </c:pt>
                <c:pt idx="16">
                  <c:v>3175.9506845400501</c:v>
                </c:pt>
                <c:pt idx="17">
                  <c:v>3269.0049796401499</c:v>
                </c:pt>
                <c:pt idx="18">
                  <c:v>3355.1138390060678</c:v>
                </c:pt>
                <c:pt idx="19">
                  <c:v>3431.9621173930755</c:v>
                </c:pt>
                <c:pt idx="20">
                  <c:v>3497.2346695564461</c:v>
                </c:pt>
                <c:pt idx="21">
                  <c:v>3550.9314954961797</c:v>
                </c:pt>
                <c:pt idx="22">
                  <c:v>3593.0525952122762</c:v>
                </c:pt>
                <c:pt idx="23">
                  <c:v>3632.8585496836449</c:v>
                </c:pt>
                <c:pt idx="24">
                  <c:v>3668.0342136655595</c:v>
                </c:pt>
                <c:pt idx="25">
                  <c:v>3698.579587158019</c:v>
                </c:pt>
                <c:pt idx="26">
                  <c:v>3724.4946701610238</c:v>
                </c:pt>
                <c:pt idx="27">
                  <c:v>3748.0946079193009</c:v>
                </c:pt>
                <c:pt idx="28">
                  <c:v>3769.3794004328506</c:v>
                </c:pt>
                <c:pt idx="29">
                  <c:v>3786.0339024569457</c:v>
                </c:pt>
                <c:pt idx="30">
                  <c:v>3798.0581139915857</c:v>
                </c:pt>
                <c:pt idx="31">
                  <c:v>3805.4520350367711</c:v>
                </c:pt>
                <c:pt idx="32">
                  <c:v>3810.5308108372287</c:v>
                </c:pt>
                <c:pt idx="33">
                  <c:v>3814.0956293751537</c:v>
                </c:pt>
                <c:pt idx="34">
                  <c:v>3814.5691697883613</c:v>
                </c:pt>
                <c:pt idx="35">
                  <c:v>3815.0427102015692</c:v>
                </c:pt>
                <c:pt idx="36">
                  <c:v>3815.4911955125722</c:v>
                </c:pt>
                <c:pt idx="37">
                  <c:v>3815.9396808235751</c:v>
                </c:pt>
                <c:pt idx="38">
                  <c:v>3816.3881661345781</c:v>
                </c:pt>
                <c:pt idx="39">
                  <c:v>3816.8366514455811</c:v>
                </c:pt>
                <c:pt idx="40">
                  <c:v>3817.2851367565841</c:v>
                </c:pt>
                <c:pt idx="41">
                  <c:v>3817.7336220675875</c:v>
                </c:pt>
                <c:pt idx="42">
                  <c:v>3818.1821073785904</c:v>
                </c:pt>
                <c:pt idx="43">
                  <c:v>3818.6305926895934</c:v>
                </c:pt>
                <c:pt idx="44">
                  <c:v>3819.0790780005964</c:v>
                </c:pt>
                <c:pt idx="45">
                  <c:v>3819.5275633115994</c:v>
                </c:pt>
                <c:pt idx="46">
                  <c:v>3819.9760486226023</c:v>
                </c:pt>
                <c:pt idx="47">
                  <c:v>3820.4245339336053</c:v>
                </c:pt>
                <c:pt idx="48">
                  <c:v>3823.6161124006267</c:v>
                </c:pt>
                <c:pt idx="49">
                  <c:v>3832.3051862507045</c:v>
                </c:pt>
                <c:pt idx="50">
                  <c:v>3846.9768843731104</c:v>
                </c:pt>
                <c:pt idx="51">
                  <c:v>3868.0295719137657</c:v>
                </c:pt>
                <c:pt idx="52">
                  <c:v>3895.7690729357837</c:v>
                </c:pt>
              </c:numCache>
            </c:numRef>
          </c:val>
        </c:ser>
        <c:ser>
          <c:idx val="1"/>
          <c:order val="2"/>
          <c:tx>
            <c:strRef>
              <c:f>'Berechnung der Vergleichskurven'!$F$4</c:f>
              <c:strCache>
                <c:ptCount val="1"/>
                <c:pt idx="0">
                  <c:v>Verbrauchslinie wie 2021/2022</c:v>
                </c:pt>
              </c:strCache>
            </c:strRef>
          </c:tx>
          <c:spPr>
            <a:ln w="12700">
              <a:solidFill>
                <a:srgbClr val="000000"/>
              </a:solidFill>
              <a:prstDash val="solid"/>
            </a:ln>
          </c:spPr>
          <c:marker>
            <c:symbol val="none"/>
          </c:marker>
          <c:cat>
            <c:numRef>
              <c:f>'Berechnung der Vergleichskurven'!$A$5:$A$187</c:f>
              <c:numCache>
                <c:formatCode>d/m/yy</c:formatCode>
                <c:ptCount val="183"/>
                <c:pt idx="0">
                  <c:v>44847</c:v>
                </c:pt>
                <c:pt idx="1">
                  <c:v>44854</c:v>
                </c:pt>
                <c:pt idx="2">
                  <c:v>44861</c:v>
                </c:pt>
                <c:pt idx="3">
                  <c:v>44868</c:v>
                </c:pt>
                <c:pt idx="4">
                  <c:v>44875</c:v>
                </c:pt>
                <c:pt idx="5">
                  <c:v>44882</c:v>
                </c:pt>
                <c:pt idx="6">
                  <c:v>44889</c:v>
                </c:pt>
                <c:pt idx="7">
                  <c:v>44896</c:v>
                </c:pt>
                <c:pt idx="8">
                  <c:v>44903</c:v>
                </c:pt>
                <c:pt idx="9">
                  <c:v>44910</c:v>
                </c:pt>
                <c:pt idx="10">
                  <c:v>44917</c:v>
                </c:pt>
                <c:pt idx="11">
                  <c:v>44924</c:v>
                </c:pt>
                <c:pt idx="12">
                  <c:v>44931</c:v>
                </c:pt>
                <c:pt idx="13">
                  <c:v>44938</c:v>
                </c:pt>
                <c:pt idx="14">
                  <c:v>44945</c:v>
                </c:pt>
                <c:pt idx="15">
                  <c:v>44952</c:v>
                </c:pt>
                <c:pt idx="16">
                  <c:v>44959</c:v>
                </c:pt>
                <c:pt idx="17">
                  <c:v>44966</c:v>
                </c:pt>
                <c:pt idx="18">
                  <c:v>44973</c:v>
                </c:pt>
                <c:pt idx="19">
                  <c:v>44980</c:v>
                </c:pt>
                <c:pt idx="20">
                  <c:v>44987</c:v>
                </c:pt>
                <c:pt idx="21">
                  <c:v>44994</c:v>
                </c:pt>
                <c:pt idx="22">
                  <c:v>45001</c:v>
                </c:pt>
                <c:pt idx="23">
                  <c:v>45008</c:v>
                </c:pt>
                <c:pt idx="24">
                  <c:v>45015</c:v>
                </c:pt>
                <c:pt idx="25">
                  <c:v>45022</c:v>
                </c:pt>
                <c:pt idx="26">
                  <c:v>45029</c:v>
                </c:pt>
                <c:pt idx="27">
                  <c:v>45036</c:v>
                </c:pt>
                <c:pt idx="28">
                  <c:v>45043</c:v>
                </c:pt>
                <c:pt idx="29">
                  <c:v>45050</c:v>
                </c:pt>
                <c:pt idx="30">
                  <c:v>45057</c:v>
                </c:pt>
                <c:pt idx="31">
                  <c:v>45064</c:v>
                </c:pt>
                <c:pt idx="32">
                  <c:v>45071</c:v>
                </c:pt>
                <c:pt idx="33">
                  <c:v>45078</c:v>
                </c:pt>
                <c:pt idx="34">
                  <c:v>45085</c:v>
                </c:pt>
                <c:pt idx="35">
                  <c:v>45092</c:v>
                </c:pt>
                <c:pt idx="36">
                  <c:v>45099</c:v>
                </c:pt>
                <c:pt idx="37">
                  <c:v>45106</c:v>
                </c:pt>
                <c:pt idx="38">
                  <c:v>45113</c:v>
                </c:pt>
                <c:pt idx="39">
                  <c:v>45120</c:v>
                </c:pt>
                <c:pt idx="40">
                  <c:v>45127</c:v>
                </c:pt>
                <c:pt idx="41">
                  <c:v>45134</c:v>
                </c:pt>
                <c:pt idx="42">
                  <c:v>45141</c:v>
                </c:pt>
                <c:pt idx="43">
                  <c:v>45148</c:v>
                </c:pt>
                <c:pt idx="44">
                  <c:v>45155</c:v>
                </c:pt>
                <c:pt idx="45">
                  <c:v>45162</c:v>
                </c:pt>
                <c:pt idx="46">
                  <c:v>45169</c:v>
                </c:pt>
                <c:pt idx="47">
                  <c:v>45176</c:v>
                </c:pt>
                <c:pt idx="48">
                  <c:v>45183</c:v>
                </c:pt>
                <c:pt idx="49">
                  <c:v>45190</c:v>
                </c:pt>
                <c:pt idx="50">
                  <c:v>45197</c:v>
                </c:pt>
                <c:pt idx="51">
                  <c:v>45204</c:v>
                </c:pt>
                <c:pt idx="52">
                  <c:v>45211</c:v>
                </c:pt>
              </c:numCache>
            </c:numRef>
          </c:cat>
          <c:val>
            <c:numRef>
              <c:f>'Berechnung der Vergleichskurven'!$F$5:$F$57</c:f>
              <c:numCache>
                <c:formatCode>0</c:formatCode>
                <c:ptCount val="53"/>
                <c:pt idx="0">
                  <c:v>1587</c:v>
                </c:pt>
                <c:pt idx="1">
                  <c:v>1621.6997216656991</c:v>
                </c:pt>
                <c:pt idx="2">
                  <c:v>1664.5177889115375</c:v>
                </c:pt>
                <c:pt idx="3">
                  <c:v>1720.8408700849527</c:v>
                </c:pt>
                <c:pt idx="4">
                  <c:v>1788.7396774820047</c:v>
                </c:pt>
                <c:pt idx="5">
                  <c:v>1870.1434988066335</c:v>
                </c:pt>
                <c:pt idx="6">
                  <c:v>1963.1230463548993</c:v>
                </c:pt>
                <c:pt idx="7">
                  <c:v>2059.9611693110442</c:v>
                </c:pt>
                <c:pt idx="8">
                  <c:v>2158.7285799711285</c:v>
                </c:pt>
                <c:pt idx="9">
                  <c:v>2259.4252783351526</c:v>
                </c:pt>
                <c:pt idx="10">
                  <c:v>2360.1219766991762</c:v>
                </c:pt>
                <c:pt idx="11">
                  <c:v>2458.8893873592606</c:v>
                </c:pt>
                <c:pt idx="12">
                  <c:v>2557.6567980193449</c:v>
                </c:pt>
                <c:pt idx="13">
                  <c:v>2652.5656332715507</c:v>
                </c:pt>
                <c:pt idx="14">
                  <c:v>2743.615893115877</c:v>
                </c:pt>
                <c:pt idx="15">
                  <c:v>2828.8782898483846</c:v>
                </c:pt>
                <c:pt idx="16">
                  <c:v>2911.1255704500418</c:v>
                </c:pt>
                <c:pt idx="17">
                  <c:v>2988.6708163667918</c:v>
                </c:pt>
                <c:pt idx="18">
                  <c:v>3060.428199171723</c:v>
                </c:pt>
                <c:pt idx="19">
                  <c:v>3124.4684311608962</c:v>
                </c:pt>
                <c:pt idx="20">
                  <c:v>3178.8622246303717</c:v>
                </c:pt>
                <c:pt idx="21">
                  <c:v>3223.6095795801493</c:v>
                </c:pt>
                <c:pt idx="22">
                  <c:v>3258.7104960102297</c:v>
                </c:pt>
                <c:pt idx="23">
                  <c:v>3291.8821247363712</c:v>
                </c:pt>
                <c:pt idx="24">
                  <c:v>3321.1951780546328</c:v>
                </c:pt>
                <c:pt idx="25">
                  <c:v>3346.6496559650159</c:v>
                </c:pt>
                <c:pt idx="26">
                  <c:v>3368.2455584675199</c:v>
                </c:pt>
                <c:pt idx="27">
                  <c:v>3387.9121732660842</c:v>
                </c:pt>
                <c:pt idx="28">
                  <c:v>3405.6495003607088</c:v>
                </c:pt>
                <c:pt idx="29">
                  <c:v>3419.5282520474548</c:v>
                </c:pt>
                <c:pt idx="30">
                  <c:v>3429.5484283263213</c:v>
                </c:pt>
                <c:pt idx="31">
                  <c:v>3435.7100291973093</c:v>
                </c:pt>
                <c:pt idx="32">
                  <c:v>3439.9423423643575</c:v>
                </c:pt>
                <c:pt idx="33">
                  <c:v>3442.913024479295</c:v>
                </c:pt>
                <c:pt idx="34">
                  <c:v>3443.3076414903012</c:v>
                </c:pt>
                <c:pt idx="35">
                  <c:v>3443.7022585013074</c:v>
                </c:pt>
                <c:pt idx="36">
                  <c:v>3444.0759962604766</c:v>
                </c:pt>
                <c:pt idx="37">
                  <c:v>3444.4497340196458</c:v>
                </c:pt>
                <c:pt idx="38">
                  <c:v>3444.823471778815</c:v>
                </c:pt>
                <c:pt idx="39">
                  <c:v>3445.1972095379842</c:v>
                </c:pt>
                <c:pt idx="40">
                  <c:v>3445.5709472971535</c:v>
                </c:pt>
                <c:pt idx="41">
                  <c:v>3445.9446850563227</c:v>
                </c:pt>
                <c:pt idx="42">
                  <c:v>3446.3184228154919</c:v>
                </c:pt>
                <c:pt idx="43">
                  <c:v>3446.6921605746611</c:v>
                </c:pt>
                <c:pt idx="44">
                  <c:v>3447.0658983338303</c:v>
                </c:pt>
                <c:pt idx="45">
                  <c:v>3447.4396360929995</c:v>
                </c:pt>
                <c:pt idx="46">
                  <c:v>3447.8133738521683</c:v>
                </c:pt>
                <c:pt idx="47">
                  <c:v>3448.187111611338</c:v>
                </c:pt>
                <c:pt idx="48">
                  <c:v>3450.8467603338559</c:v>
                </c:pt>
                <c:pt idx="49">
                  <c:v>3458.0876552089203</c:v>
                </c:pt>
                <c:pt idx="50">
                  <c:v>3470.3140703109257</c:v>
                </c:pt>
                <c:pt idx="51">
                  <c:v>3487.8579765948048</c:v>
                </c:pt>
                <c:pt idx="52">
                  <c:v>3510.9742274464861</c:v>
                </c:pt>
              </c:numCache>
            </c:numRef>
          </c:val>
          <c:smooth val="1"/>
        </c:ser>
        <c:ser>
          <c:idx val="0"/>
          <c:order val="3"/>
          <c:tx>
            <c:strRef>
              <c:f>'Berechnung der Vergleichskurven'!$G$4</c:f>
              <c:strCache>
                <c:ptCount val="1"/>
                <c:pt idx="0">
                  <c:v>20% Einsparung zu 2021/2022</c:v>
                </c:pt>
              </c:strCache>
            </c:strRef>
          </c:tx>
          <c:spPr>
            <a:ln w="25400">
              <a:solidFill>
                <a:srgbClr val="339933"/>
              </a:solidFill>
              <a:prstDash val="solid"/>
            </a:ln>
          </c:spPr>
          <c:marker>
            <c:symbol val="none"/>
          </c:marker>
          <c:cat>
            <c:numRef>
              <c:f>'Berechnung der Vergleichskurven'!$A$5:$A$187</c:f>
              <c:numCache>
                <c:formatCode>d/m/yy</c:formatCode>
                <c:ptCount val="183"/>
                <c:pt idx="0">
                  <c:v>44847</c:v>
                </c:pt>
                <c:pt idx="1">
                  <c:v>44854</c:v>
                </c:pt>
                <c:pt idx="2">
                  <c:v>44861</c:v>
                </c:pt>
                <c:pt idx="3">
                  <c:v>44868</c:v>
                </c:pt>
                <c:pt idx="4">
                  <c:v>44875</c:v>
                </c:pt>
                <c:pt idx="5">
                  <c:v>44882</c:v>
                </c:pt>
                <c:pt idx="6">
                  <c:v>44889</c:v>
                </c:pt>
                <c:pt idx="7">
                  <c:v>44896</c:v>
                </c:pt>
                <c:pt idx="8">
                  <c:v>44903</c:v>
                </c:pt>
                <c:pt idx="9">
                  <c:v>44910</c:v>
                </c:pt>
                <c:pt idx="10">
                  <c:v>44917</c:v>
                </c:pt>
                <c:pt idx="11">
                  <c:v>44924</c:v>
                </c:pt>
                <c:pt idx="12">
                  <c:v>44931</c:v>
                </c:pt>
                <c:pt idx="13">
                  <c:v>44938</c:v>
                </c:pt>
                <c:pt idx="14">
                  <c:v>44945</c:v>
                </c:pt>
                <c:pt idx="15">
                  <c:v>44952</c:v>
                </c:pt>
                <c:pt idx="16">
                  <c:v>44959</c:v>
                </c:pt>
                <c:pt idx="17">
                  <c:v>44966</c:v>
                </c:pt>
                <c:pt idx="18">
                  <c:v>44973</c:v>
                </c:pt>
                <c:pt idx="19">
                  <c:v>44980</c:v>
                </c:pt>
                <c:pt idx="20">
                  <c:v>44987</c:v>
                </c:pt>
                <c:pt idx="21">
                  <c:v>44994</c:v>
                </c:pt>
                <c:pt idx="22">
                  <c:v>45001</c:v>
                </c:pt>
                <c:pt idx="23">
                  <c:v>45008</c:v>
                </c:pt>
                <c:pt idx="24">
                  <c:v>45015</c:v>
                </c:pt>
                <c:pt idx="25">
                  <c:v>45022</c:v>
                </c:pt>
                <c:pt idx="26">
                  <c:v>45029</c:v>
                </c:pt>
                <c:pt idx="27">
                  <c:v>45036</c:v>
                </c:pt>
                <c:pt idx="28">
                  <c:v>45043</c:v>
                </c:pt>
                <c:pt idx="29">
                  <c:v>45050</c:v>
                </c:pt>
                <c:pt idx="30">
                  <c:v>45057</c:v>
                </c:pt>
                <c:pt idx="31">
                  <c:v>45064</c:v>
                </c:pt>
                <c:pt idx="32">
                  <c:v>45071</c:v>
                </c:pt>
                <c:pt idx="33">
                  <c:v>45078</c:v>
                </c:pt>
                <c:pt idx="34">
                  <c:v>45085</c:v>
                </c:pt>
                <c:pt idx="35">
                  <c:v>45092</c:v>
                </c:pt>
                <c:pt idx="36">
                  <c:v>45099</c:v>
                </c:pt>
                <c:pt idx="37">
                  <c:v>45106</c:v>
                </c:pt>
                <c:pt idx="38">
                  <c:v>45113</c:v>
                </c:pt>
                <c:pt idx="39">
                  <c:v>45120</c:v>
                </c:pt>
                <c:pt idx="40">
                  <c:v>45127</c:v>
                </c:pt>
                <c:pt idx="41">
                  <c:v>45134</c:v>
                </c:pt>
                <c:pt idx="42">
                  <c:v>45141</c:v>
                </c:pt>
                <c:pt idx="43">
                  <c:v>45148</c:v>
                </c:pt>
                <c:pt idx="44">
                  <c:v>45155</c:v>
                </c:pt>
                <c:pt idx="45">
                  <c:v>45162</c:v>
                </c:pt>
                <c:pt idx="46">
                  <c:v>45169</c:v>
                </c:pt>
                <c:pt idx="47">
                  <c:v>45176</c:v>
                </c:pt>
                <c:pt idx="48">
                  <c:v>45183</c:v>
                </c:pt>
                <c:pt idx="49">
                  <c:v>45190</c:v>
                </c:pt>
                <c:pt idx="50">
                  <c:v>45197</c:v>
                </c:pt>
                <c:pt idx="51">
                  <c:v>45204</c:v>
                </c:pt>
                <c:pt idx="52">
                  <c:v>45211</c:v>
                </c:pt>
              </c:numCache>
            </c:numRef>
          </c:cat>
          <c:val>
            <c:numRef>
              <c:f>'Berechnung der Vergleichskurven'!$G$5:$G$187</c:f>
              <c:numCache>
                <c:formatCode>0</c:formatCode>
                <c:ptCount val="183"/>
                <c:pt idx="0">
                  <c:v>1587</c:v>
                </c:pt>
                <c:pt idx="1">
                  <c:v>1614.7597773325592</c:v>
                </c:pt>
                <c:pt idx="2">
                  <c:v>1649.01423112923</c:v>
                </c:pt>
                <c:pt idx="3">
                  <c:v>1694.0726960679622</c:v>
                </c:pt>
                <c:pt idx="4">
                  <c:v>1748.3917419856039</c:v>
                </c:pt>
                <c:pt idx="5">
                  <c:v>1813.514799045307</c:v>
                </c:pt>
                <c:pt idx="6">
                  <c:v>1887.8984370839196</c:v>
                </c:pt>
                <c:pt idx="7">
                  <c:v>1965.3689354488356</c:v>
                </c:pt>
                <c:pt idx="8">
                  <c:v>2044.3828639769031</c:v>
                </c:pt>
                <c:pt idx="9">
                  <c:v>2124.9402226681223</c:v>
                </c:pt>
                <c:pt idx="10">
                  <c:v>2205.497581359341</c:v>
                </c:pt>
                <c:pt idx="11">
                  <c:v>2284.5115098874085</c:v>
                </c:pt>
                <c:pt idx="12">
                  <c:v>2363.5254384154759</c:v>
                </c:pt>
                <c:pt idx="13">
                  <c:v>2439.4525066172405</c:v>
                </c:pt>
                <c:pt idx="14">
                  <c:v>2512.2927144927016</c:v>
                </c:pt>
                <c:pt idx="15">
                  <c:v>2580.5026318787077</c:v>
                </c:pt>
                <c:pt idx="16">
                  <c:v>2646.3004563600334</c:v>
                </c:pt>
                <c:pt idx="17">
                  <c:v>2708.3366530934336</c:v>
                </c:pt>
                <c:pt idx="18">
                  <c:v>2765.7425593373782</c:v>
                </c:pt>
                <c:pt idx="19">
                  <c:v>2816.974744928717</c:v>
                </c:pt>
                <c:pt idx="20">
                  <c:v>2860.4897797042977</c:v>
                </c:pt>
                <c:pt idx="21">
                  <c:v>2896.2876636641195</c:v>
                </c:pt>
                <c:pt idx="22">
                  <c:v>2924.3683968081841</c:v>
                </c:pt>
                <c:pt idx="23">
                  <c:v>2950.9056997890966</c:v>
                </c:pt>
                <c:pt idx="24">
                  <c:v>2974.3561424437066</c:v>
                </c:pt>
                <c:pt idx="25">
                  <c:v>2994.7197247720128</c:v>
                </c:pt>
                <c:pt idx="26">
                  <c:v>3011.9964467740156</c:v>
                </c:pt>
                <c:pt idx="27">
                  <c:v>3027.7297386128675</c:v>
                </c:pt>
                <c:pt idx="28">
                  <c:v>3041.9196002885674</c:v>
                </c:pt>
                <c:pt idx="29">
                  <c:v>3053.0226016379638</c:v>
                </c:pt>
                <c:pt idx="30">
                  <c:v>3061.0387426610573</c:v>
                </c:pt>
                <c:pt idx="31">
                  <c:v>3065.9680233578474</c:v>
                </c:pt>
                <c:pt idx="32">
                  <c:v>3069.3538738914858</c:v>
                </c:pt>
                <c:pt idx="33">
                  <c:v>3071.7304195834358</c:v>
                </c:pt>
                <c:pt idx="34">
                  <c:v>3072.0461131922411</c:v>
                </c:pt>
                <c:pt idx="35">
                  <c:v>3072.361806801046</c:v>
                </c:pt>
                <c:pt idx="36">
                  <c:v>3072.6607970083815</c:v>
                </c:pt>
                <c:pt idx="37">
                  <c:v>3072.9597872157169</c:v>
                </c:pt>
                <c:pt idx="38">
                  <c:v>3073.2587774230524</c:v>
                </c:pt>
                <c:pt idx="39">
                  <c:v>3073.5577676303874</c:v>
                </c:pt>
                <c:pt idx="40">
                  <c:v>3073.8567578377229</c:v>
                </c:pt>
                <c:pt idx="41">
                  <c:v>3074.1557480450583</c:v>
                </c:pt>
                <c:pt idx="42">
                  <c:v>3074.4547382523933</c:v>
                </c:pt>
                <c:pt idx="43">
                  <c:v>3074.7537284597292</c:v>
                </c:pt>
                <c:pt idx="44">
                  <c:v>3075.0527186670643</c:v>
                </c:pt>
                <c:pt idx="45">
                  <c:v>3075.3517088743997</c:v>
                </c:pt>
                <c:pt idx="46">
                  <c:v>3075.6506990817352</c:v>
                </c:pt>
                <c:pt idx="47">
                  <c:v>3075.9496892890702</c:v>
                </c:pt>
                <c:pt idx="48">
                  <c:v>3078.0774082670846</c:v>
                </c:pt>
                <c:pt idx="49">
                  <c:v>3083.8701241671365</c:v>
                </c:pt>
                <c:pt idx="50">
                  <c:v>3093.6512562487405</c:v>
                </c:pt>
                <c:pt idx="51">
                  <c:v>3107.6863812758438</c:v>
                </c:pt>
                <c:pt idx="52">
                  <c:v>3126.1793819571894</c:v>
                </c:pt>
              </c:numCache>
            </c:numRef>
          </c:val>
        </c:ser>
        <c:marker val="1"/>
        <c:axId val="154796416"/>
        <c:axId val="154798336"/>
      </c:lineChart>
      <c:lineChart>
        <c:grouping val="standard"/>
        <c:ser>
          <c:idx val="18"/>
          <c:order val="1"/>
          <c:tx>
            <c:strRef>
              <c:f>'Berechnung der Vergleichskurven'!$B$3</c:f>
              <c:strCache>
                <c:ptCount val="1"/>
                <c:pt idx="0">
                  <c:v>Ablesewerte Vorjahr 2021/2022</c:v>
                </c:pt>
              </c:strCache>
            </c:strRef>
          </c:tx>
          <c:spPr>
            <a:ln w="28575">
              <a:noFill/>
            </a:ln>
          </c:spPr>
          <c:marker>
            <c:symbol val="circle"/>
            <c:size val="4"/>
            <c:spPr>
              <a:solidFill>
                <a:srgbClr val="000000"/>
              </a:solidFill>
              <a:ln>
                <a:solidFill>
                  <a:srgbClr val="000000"/>
                </a:solidFill>
                <a:prstDash val="solid"/>
              </a:ln>
            </c:spPr>
          </c:marker>
          <c:cat>
            <c:numRef>
              <c:f>'Berechnung der Vergleichskurven'!$A$5:$A$187</c:f>
              <c:numCache>
                <c:formatCode>d/m/yy</c:formatCode>
                <c:ptCount val="183"/>
                <c:pt idx="0">
                  <c:v>44847</c:v>
                </c:pt>
                <c:pt idx="1">
                  <c:v>44854</c:v>
                </c:pt>
                <c:pt idx="2">
                  <c:v>44861</c:v>
                </c:pt>
                <c:pt idx="3">
                  <c:v>44868</c:v>
                </c:pt>
                <c:pt idx="4">
                  <c:v>44875</c:v>
                </c:pt>
                <c:pt idx="5">
                  <c:v>44882</c:v>
                </c:pt>
                <c:pt idx="6">
                  <c:v>44889</c:v>
                </c:pt>
                <c:pt idx="7">
                  <c:v>44896</c:v>
                </c:pt>
                <c:pt idx="8">
                  <c:v>44903</c:v>
                </c:pt>
                <c:pt idx="9">
                  <c:v>44910</c:v>
                </c:pt>
                <c:pt idx="10">
                  <c:v>44917</c:v>
                </c:pt>
                <c:pt idx="11">
                  <c:v>44924</c:v>
                </c:pt>
                <c:pt idx="12">
                  <c:v>44931</c:v>
                </c:pt>
                <c:pt idx="13">
                  <c:v>44938</c:v>
                </c:pt>
                <c:pt idx="14">
                  <c:v>44945</c:v>
                </c:pt>
                <c:pt idx="15">
                  <c:v>44952</c:v>
                </c:pt>
                <c:pt idx="16">
                  <c:v>44959</c:v>
                </c:pt>
                <c:pt idx="17">
                  <c:v>44966</c:v>
                </c:pt>
                <c:pt idx="18">
                  <c:v>44973</c:v>
                </c:pt>
                <c:pt idx="19">
                  <c:v>44980</c:v>
                </c:pt>
                <c:pt idx="20">
                  <c:v>44987</c:v>
                </c:pt>
                <c:pt idx="21">
                  <c:v>44994</c:v>
                </c:pt>
                <c:pt idx="22">
                  <c:v>45001</c:v>
                </c:pt>
                <c:pt idx="23">
                  <c:v>45008</c:v>
                </c:pt>
                <c:pt idx="24">
                  <c:v>45015</c:v>
                </c:pt>
                <c:pt idx="25">
                  <c:v>45022</c:v>
                </c:pt>
                <c:pt idx="26">
                  <c:v>45029</c:v>
                </c:pt>
                <c:pt idx="27">
                  <c:v>45036</c:v>
                </c:pt>
                <c:pt idx="28">
                  <c:v>45043</c:v>
                </c:pt>
                <c:pt idx="29">
                  <c:v>45050</c:v>
                </c:pt>
                <c:pt idx="30">
                  <c:v>45057</c:v>
                </c:pt>
                <c:pt idx="31">
                  <c:v>45064</c:v>
                </c:pt>
                <c:pt idx="32">
                  <c:v>45071</c:v>
                </c:pt>
                <c:pt idx="33">
                  <c:v>45078</c:v>
                </c:pt>
                <c:pt idx="34">
                  <c:v>45085</c:v>
                </c:pt>
                <c:pt idx="35">
                  <c:v>45092</c:v>
                </c:pt>
                <c:pt idx="36">
                  <c:v>45099</c:v>
                </c:pt>
                <c:pt idx="37">
                  <c:v>45106</c:v>
                </c:pt>
                <c:pt idx="38">
                  <c:v>45113</c:v>
                </c:pt>
                <c:pt idx="39">
                  <c:v>45120</c:v>
                </c:pt>
                <c:pt idx="40">
                  <c:v>45127</c:v>
                </c:pt>
                <c:pt idx="41">
                  <c:v>45134</c:v>
                </c:pt>
                <c:pt idx="42">
                  <c:v>45141</c:v>
                </c:pt>
                <c:pt idx="43">
                  <c:v>45148</c:v>
                </c:pt>
                <c:pt idx="44">
                  <c:v>45155</c:v>
                </c:pt>
                <c:pt idx="45">
                  <c:v>45162</c:v>
                </c:pt>
                <c:pt idx="46">
                  <c:v>45169</c:v>
                </c:pt>
                <c:pt idx="47">
                  <c:v>45176</c:v>
                </c:pt>
                <c:pt idx="48">
                  <c:v>45183</c:v>
                </c:pt>
                <c:pt idx="49">
                  <c:v>45190</c:v>
                </c:pt>
                <c:pt idx="50">
                  <c:v>45197</c:v>
                </c:pt>
                <c:pt idx="51">
                  <c:v>45204</c:v>
                </c:pt>
                <c:pt idx="52">
                  <c:v>45211</c:v>
                </c:pt>
              </c:numCache>
            </c:numRef>
          </c:cat>
          <c:val>
            <c:numRef>
              <c:f>'Berechnung der Vergleichskurven'!$H$5:$H$187</c:f>
              <c:numCache>
                <c:formatCode>0</c:formatCode>
                <c:ptCount val="183"/>
                <c:pt idx="0" formatCode="General">
                  <c:v>1587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3535.7754585247621</c:v>
                </c:pt>
              </c:numCache>
            </c:numRef>
          </c:val>
        </c:ser>
        <c:marker val="1"/>
        <c:axId val="154800512"/>
        <c:axId val="154802048"/>
      </c:lineChart>
      <c:dateAx>
        <c:axId val="154796416"/>
        <c:scaling>
          <c:orientation val="minMax"/>
        </c:scaling>
        <c:axPos val="b"/>
        <c:majorGridlines>
          <c:spPr>
            <a:ln w="3175">
              <a:solidFill>
                <a:srgbClr val="000000"/>
              </a:solidFill>
              <a:prstDash val="solid"/>
            </a:ln>
          </c:spPr>
        </c:majorGridlines>
        <c:minorGridlines>
          <c:spPr>
            <a:ln w="3175">
              <a:solidFill>
                <a:srgbClr val="000000"/>
              </a:solidFill>
              <a:prstDash val="sysDot"/>
            </a:ln>
          </c:spPr>
        </c:minorGridlines>
        <c:numFmt formatCode="d/m/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Arial Narrow"/>
                <a:ea typeface="Arial Narrow"/>
                <a:cs typeface="Arial Narrow"/>
              </a:defRPr>
            </a:pPr>
            <a:endParaRPr lang="de-DE"/>
          </a:p>
        </c:txPr>
        <c:crossAx val="154798336"/>
        <c:crosses val="autoZero"/>
        <c:lblOffset val="100"/>
        <c:baseTimeUnit val="days"/>
        <c:majorUnit val="10"/>
        <c:majorTimeUnit val="days"/>
        <c:minorUnit val="2"/>
        <c:minorTimeUnit val="days"/>
      </c:dateAx>
      <c:valAx>
        <c:axId val="154798336"/>
        <c:scaling>
          <c:orientation val="minMax"/>
          <c:max val="3900"/>
          <c:min val="1500"/>
        </c:scaling>
        <c:axPos val="l"/>
        <c:majorGridlines>
          <c:spPr>
            <a:ln w="3175">
              <a:solidFill>
                <a:srgbClr val="000000"/>
              </a:solidFill>
              <a:prstDash val="solid"/>
            </a:ln>
          </c:spPr>
        </c:majorGridlines>
        <c:minorGridlines>
          <c:spPr>
            <a:ln w="3175">
              <a:solidFill>
                <a:srgbClr val="000000"/>
              </a:solidFill>
              <a:prstDash val="sysDot"/>
            </a:ln>
          </c:spPr>
        </c:minorGridlines>
        <c:title>
          <c:tx>
            <c:rich>
              <a:bodyPr rot="0" vert="horz"/>
              <a:lstStyle/>
              <a:p>
                <a:pPr algn="ctr">
                  <a:defRPr sz="800" b="1" i="0" u="none" strike="noStrike" baseline="0">
                    <a:solidFill>
                      <a:srgbClr val="000000"/>
                    </a:solidFill>
                    <a:latin typeface="Arial Narrow"/>
                    <a:ea typeface="Arial Narrow"/>
                    <a:cs typeface="Arial Narrow"/>
                  </a:defRPr>
                </a:pPr>
                <a:r>
                  <a:rPr lang="de-DE"/>
                  <a:t>Zählerstand</a:t>
                </a:r>
              </a:p>
            </c:rich>
          </c:tx>
          <c:layout>
            <c:manualLayout>
              <c:xMode val="edge"/>
              <c:yMode val="edge"/>
              <c:x val="2.0042214738898029E-2"/>
              <c:y val="9.6625784961870867E-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de-DE"/>
          </a:p>
        </c:txPr>
        <c:crossAx val="154796416"/>
        <c:crosses val="autoZero"/>
        <c:crossBetween val="midCat"/>
        <c:majorUnit val="100"/>
        <c:minorUnit val="20"/>
      </c:valAx>
      <c:dateAx>
        <c:axId val="154800512"/>
        <c:scaling>
          <c:orientation val="minMax"/>
        </c:scaling>
        <c:delete val="1"/>
        <c:axPos val="b"/>
        <c:numFmt formatCode="d/m/yy" sourceLinked="1"/>
        <c:tickLblPos val="nextTo"/>
        <c:crossAx val="154802048"/>
        <c:crosses val="autoZero"/>
        <c:auto val="1"/>
        <c:lblOffset val="100"/>
      </c:dateAx>
      <c:valAx>
        <c:axId val="154802048"/>
        <c:scaling>
          <c:orientation val="minMax"/>
          <c:max val="3900"/>
          <c:min val="1500"/>
        </c:scaling>
        <c:axPos val="r"/>
        <c:numFmt formatCode="#,##0" sourceLinked="0"/>
        <c:majorTickMark val="cross"/>
        <c:minorTickMark val="out"/>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de-DE"/>
          </a:p>
        </c:txPr>
        <c:crossAx val="154800512"/>
        <c:crosses val="max"/>
        <c:crossBetween val="midCat"/>
        <c:majorUnit val="100"/>
        <c:minorUnit val="100"/>
      </c:valAx>
      <c:spPr>
        <a:noFill/>
        <a:ln w="12700">
          <a:solidFill>
            <a:srgbClr val="808080"/>
          </a:solidFill>
          <a:prstDash val="solid"/>
        </a:ln>
      </c:spPr>
    </c:plotArea>
    <c:legend>
      <c:legendPos val="r"/>
      <c:layout>
        <c:manualLayout>
          <c:xMode val="edge"/>
          <c:yMode val="edge"/>
          <c:x val="0.51687816958210708"/>
          <c:y val="0.70705534710194351"/>
          <c:w val="0.21413524168401579"/>
          <c:h val="0.15030677660735459"/>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Narrow"/>
              <a:ea typeface="Arial Narrow"/>
              <a:cs typeface="Arial Narrow"/>
            </a:defRPr>
          </a:pPr>
          <a:endParaRPr lang="de-DE"/>
        </a:p>
      </c:txPr>
    </c:legend>
    <c:plotVisOnly val="1"/>
    <c:dispBlanksAs val="gap"/>
  </c:chart>
  <c:spPr>
    <a:noFill/>
    <a:ln w="9525">
      <a:noFill/>
    </a:ln>
  </c:spPr>
  <c:txPr>
    <a:bodyPr/>
    <a:lstStyle/>
    <a:p>
      <a:pPr>
        <a:defRPr sz="26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78" footer="0.49212598450000078"/>
    <c:pageSetup paperSize="9" orientation="landscape" horizontalDpi="300" verticalDpi="360"/>
  </c:printSettings>
</c:chartSpace>
</file>

<file path=xl/charts/chart3.xml><?xml version="1.0" encoding="utf-8"?>
<c:chartSpace xmlns:c="http://schemas.openxmlformats.org/drawingml/2006/chart" xmlns:a="http://schemas.openxmlformats.org/drawingml/2006/main" xmlns:r="http://schemas.openxmlformats.org/officeDocument/2006/relationships">
  <c:lang val="de-DE"/>
  <c:chart>
    <c:plotArea>
      <c:layout>
        <c:manualLayout>
          <c:layoutTarget val="inner"/>
          <c:xMode val="edge"/>
          <c:yMode val="edge"/>
          <c:x val="7.9310745440861433E-2"/>
          <c:y val="6.9364308681898912E-2"/>
          <c:w val="0.90000454608977365"/>
          <c:h val="0.89595565380786091"/>
        </c:manualLayout>
      </c:layout>
      <c:lineChart>
        <c:grouping val="standard"/>
        <c:ser>
          <c:idx val="18"/>
          <c:order val="0"/>
          <c:tx>
            <c:strRef>
              <c:f>'Berechnung der Vergleichskurven'!$F$4</c:f>
              <c:strCache>
                <c:ptCount val="1"/>
                <c:pt idx="0">
                  <c:v>Verbrauchslinie wie 2021/2022</c:v>
                </c:pt>
              </c:strCache>
            </c:strRef>
          </c:tx>
          <c:spPr>
            <a:ln w="28575">
              <a:noFill/>
            </a:ln>
          </c:spPr>
          <c:marker>
            <c:symbol val="circle"/>
            <c:size val="4"/>
            <c:spPr>
              <a:solidFill>
                <a:srgbClr val="000000"/>
              </a:solidFill>
              <a:ln>
                <a:solidFill>
                  <a:srgbClr val="000000"/>
                </a:solidFill>
                <a:prstDash val="solid"/>
              </a:ln>
            </c:spPr>
          </c:marker>
          <c:cat>
            <c:numRef>
              <c:f>'Berechnung der Vergleichskurven'!$A$5:$A$187</c:f>
              <c:numCache>
                <c:formatCode>d/m/yy</c:formatCode>
                <c:ptCount val="183"/>
                <c:pt idx="0">
                  <c:v>44847</c:v>
                </c:pt>
                <c:pt idx="1">
                  <c:v>44854</c:v>
                </c:pt>
                <c:pt idx="2">
                  <c:v>44861</c:v>
                </c:pt>
                <c:pt idx="3">
                  <c:v>44868</c:v>
                </c:pt>
                <c:pt idx="4">
                  <c:v>44875</c:v>
                </c:pt>
                <c:pt idx="5">
                  <c:v>44882</c:v>
                </c:pt>
                <c:pt idx="6">
                  <c:v>44889</c:v>
                </c:pt>
                <c:pt idx="7">
                  <c:v>44896</c:v>
                </c:pt>
                <c:pt idx="8">
                  <c:v>44903</c:v>
                </c:pt>
                <c:pt idx="9">
                  <c:v>44910</c:v>
                </c:pt>
                <c:pt idx="10">
                  <c:v>44917</c:v>
                </c:pt>
                <c:pt idx="11">
                  <c:v>44924</c:v>
                </c:pt>
                <c:pt idx="12">
                  <c:v>44931</c:v>
                </c:pt>
                <c:pt idx="13">
                  <c:v>44938</c:v>
                </c:pt>
                <c:pt idx="14">
                  <c:v>44945</c:v>
                </c:pt>
                <c:pt idx="15">
                  <c:v>44952</c:v>
                </c:pt>
                <c:pt idx="16">
                  <c:v>44959</c:v>
                </c:pt>
                <c:pt idx="17">
                  <c:v>44966</c:v>
                </c:pt>
                <c:pt idx="18">
                  <c:v>44973</c:v>
                </c:pt>
                <c:pt idx="19">
                  <c:v>44980</c:v>
                </c:pt>
                <c:pt idx="20">
                  <c:v>44987</c:v>
                </c:pt>
                <c:pt idx="21">
                  <c:v>44994</c:v>
                </c:pt>
                <c:pt idx="22">
                  <c:v>45001</c:v>
                </c:pt>
                <c:pt idx="23">
                  <c:v>45008</c:v>
                </c:pt>
                <c:pt idx="24">
                  <c:v>45015</c:v>
                </c:pt>
                <c:pt idx="25">
                  <c:v>45022</c:v>
                </c:pt>
                <c:pt idx="26">
                  <c:v>45029</c:v>
                </c:pt>
                <c:pt idx="27">
                  <c:v>45036</c:v>
                </c:pt>
                <c:pt idx="28">
                  <c:v>45043</c:v>
                </c:pt>
                <c:pt idx="29">
                  <c:v>45050</c:v>
                </c:pt>
                <c:pt idx="30">
                  <c:v>45057</c:v>
                </c:pt>
                <c:pt idx="31">
                  <c:v>45064</c:v>
                </c:pt>
                <c:pt idx="32">
                  <c:v>45071</c:v>
                </c:pt>
                <c:pt idx="33">
                  <c:v>45078</c:v>
                </c:pt>
                <c:pt idx="34">
                  <c:v>45085</c:v>
                </c:pt>
                <c:pt idx="35">
                  <c:v>45092</c:v>
                </c:pt>
                <c:pt idx="36">
                  <c:v>45099</c:v>
                </c:pt>
                <c:pt idx="37">
                  <c:v>45106</c:v>
                </c:pt>
                <c:pt idx="38">
                  <c:v>45113</c:v>
                </c:pt>
                <c:pt idx="39">
                  <c:v>45120</c:v>
                </c:pt>
                <c:pt idx="40">
                  <c:v>45127</c:v>
                </c:pt>
                <c:pt idx="41">
                  <c:v>45134</c:v>
                </c:pt>
                <c:pt idx="42">
                  <c:v>45141</c:v>
                </c:pt>
                <c:pt idx="43">
                  <c:v>45148</c:v>
                </c:pt>
                <c:pt idx="44">
                  <c:v>45155</c:v>
                </c:pt>
                <c:pt idx="45">
                  <c:v>45162</c:v>
                </c:pt>
                <c:pt idx="46">
                  <c:v>45169</c:v>
                </c:pt>
                <c:pt idx="47">
                  <c:v>45176</c:v>
                </c:pt>
                <c:pt idx="48">
                  <c:v>45183</c:v>
                </c:pt>
                <c:pt idx="49">
                  <c:v>45190</c:v>
                </c:pt>
                <c:pt idx="50">
                  <c:v>45197</c:v>
                </c:pt>
                <c:pt idx="51">
                  <c:v>45204</c:v>
                </c:pt>
                <c:pt idx="52">
                  <c:v>45211</c:v>
                </c:pt>
              </c:numCache>
            </c:numRef>
          </c:cat>
          <c:val>
            <c:numRef>
              <c:f>'Berechnung der Vergleichskurven'!$H$5:$H$187</c:f>
              <c:numCache>
                <c:formatCode>0</c:formatCode>
                <c:ptCount val="183"/>
                <c:pt idx="0" formatCode="General">
                  <c:v>1587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3535.7754585247621</c:v>
                </c:pt>
              </c:numCache>
            </c:numRef>
          </c:val>
        </c:ser>
        <c:ser>
          <c:idx val="2"/>
          <c:order val="2"/>
          <c:tx>
            <c:strRef>
              <c:f>'Berechnung der Vergleichskurven'!$F$4</c:f>
              <c:strCache>
                <c:ptCount val="1"/>
                <c:pt idx="0">
                  <c:v>Verbrauchslinie wie 2021/2022</c:v>
                </c:pt>
              </c:strCache>
            </c:strRef>
          </c:tx>
          <c:spPr>
            <a:ln w="12700">
              <a:solidFill>
                <a:srgbClr val="000000"/>
              </a:solidFill>
              <a:prstDash val="solid"/>
            </a:ln>
          </c:spPr>
          <c:marker>
            <c:symbol val="none"/>
          </c:marker>
          <c:cat>
            <c:numRef>
              <c:f>'Berechnung der Vergleichskurven'!$A$5:$A$187</c:f>
              <c:numCache>
                <c:formatCode>d/m/yy</c:formatCode>
                <c:ptCount val="183"/>
                <c:pt idx="0">
                  <c:v>44847</c:v>
                </c:pt>
                <c:pt idx="1">
                  <c:v>44854</c:v>
                </c:pt>
                <c:pt idx="2">
                  <c:v>44861</c:v>
                </c:pt>
                <c:pt idx="3">
                  <c:v>44868</c:v>
                </c:pt>
                <c:pt idx="4">
                  <c:v>44875</c:v>
                </c:pt>
                <c:pt idx="5">
                  <c:v>44882</c:v>
                </c:pt>
                <c:pt idx="6">
                  <c:v>44889</c:v>
                </c:pt>
                <c:pt idx="7">
                  <c:v>44896</c:v>
                </c:pt>
                <c:pt idx="8">
                  <c:v>44903</c:v>
                </c:pt>
                <c:pt idx="9">
                  <c:v>44910</c:v>
                </c:pt>
                <c:pt idx="10">
                  <c:v>44917</c:v>
                </c:pt>
                <c:pt idx="11">
                  <c:v>44924</c:v>
                </c:pt>
                <c:pt idx="12">
                  <c:v>44931</c:v>
                </c:pt>
                <c:pt idx="13">
                  <c:v>44938</c:v>
                </c:pt>
                <c:pt idx="14">
                  <c:v>44945</c:v>
                </c:pt>
                <c:pt idx="15">
                  <c:v>44952</c:v>
                </c:pt>
                <c:pt idx="16">
                  <c:v>44959</c:v>
                </c:pt>
                <c:pt idx="17">
                  <c:v>44966</c:v>
                </c:pt>
                <c:pt idx="18">
                  <c:v>44973</c:v>
                </c:pt>
                <c:pt idx="19">
                  <c:v>44980</c:v>
                </c:pt>
                <c:pt idx="20">
                  <c:v>44987</c:v>
                </c:pt>
                <c:pt idx="21">
                  <c:v>44994</c:v>
                </c:pt>
                <c:pt idx="22">
                  <c:v>45001</c:v>
                </c:pt>
                <c:pt idx="23">
                  <c:v>45008</c:v>
                </c:pt>
                <c:pt idx="24">
                  <c:v>45015</c:v>
                </c:pt>
                <c:pt idx="25">
                  <c:v>45022</c:v>
                </c:pt>
                <c:pt idx="26">
                  <c:v>45029</c:v>
                </c:pt>
                <c:pt idx="27">
                  <c:v>45036</c:v>
                </c:pt>
                <c:pt idx="28">
                  <c:v>45043</c:v>
                </c:pt>
                <c:pt idx="29">
                  <c:v>45050</c:v>
                </c:pt>
                <c:pt idx="30">
                  <c:v>45057</c:v>
                </c:pt>
                <c:pt idx="31">
                  <c:v>45064</c:v>
                </c:pt>
                <c:pt idx="32">
                  <c:v>45071</c:v>
                </c:pt>
                <c:pt idx="33">
                  <c:v>45078</c:v>
                </c:pt>
                <c:pt idx="34">
                  <c:v>45085</c:v>
                </c:pt>
                <c:pt idx="35">
                  <c:v>45092</c:v>
                </c:pt>
                <c:pt idx="36">
                  <c:v>45099</c:v>
                </c:pt>
                <c:pt idx="37">
                  <c:v>45106</c:v>
                </c:pt>
                <c:pt idx="38">
                  <c:v>45113</c:v>
                </c:pt>
                <c:pt idx="39">
                  <c:v>45120</c:v>
                </c:pt>
                <c:pt idx="40">
                  <c:v>45127</c:v>
                </c:pt>
                <c:pt idx="41">
                  <c:v>45134</c:v>
                </c:pt>
                <c:pt idx="42">
                  <c:v>45141</c:v>
                </c:pt>
                <c:pt idx="43">
                  <c:v>45148</c:v>
                </c:pt>
                <c:pt idx="44">
                  <c:v>45155</c:v>
                </c:pt>
                <c:pt idx="45">
                  <c:v>45162</c:v>
                </c:pt>
                <c:pt idx="46">
                  <c:v>45169</c:v>
                </c:pt>
                <c:pt idx="47">
                  <c:v>45176</c:v>
                </c:pt>
                <c:pt idx="48">
                  <c:v>45183</c:v>
                </c:pt>
                <c:pt idx="49">
                  <c:v>45190</c:v>
                </c:pt>
                <c:pt idx="50">
                  <c:v>45197</c:v>
                </c:pt>
                <c:pt idx="51">
                  <c:v>45204</c:v>
                </c:pt>
                <c:pt idx="52">
                  <c:v>45211</c:v>
                </c:pt>
              </c:numCache>
            </c:numRef>
          </c:cat>
          <c:val>
            <c:numRef>
              <c:f>'Berechnung der Vergleichskurven'!$F$5:$F$57</c:f>
              <c:numCache>
                <c:formatCode>0</c:formatCode>
                <c:ptCount val="53"/>
                <c:pt idx="0">
                  <c:v>1587</c:v>
                </c:pt>
                <c:pt idx="1">
                  <c:v>1621.6997216656991</c:v>
                </c:pt>
                <c:pt idx="2">
                  <c:v>1664.5177889115375</c:v>
                </c:pt>
                <c:pt idx="3">
                  <c:v>1720.8408700849527</c:v>
                </c:pt>
                <c:pt idx="4">
                  <c:v>1788.7396774820047</c:v>
                </c:pt>
                <c:pt idx="5">
                  <c:v>1870.1434988066335</c:v>
                </c:pt>
                <c:pt idx="6">
                  <c:v>1963.1230463548993</c:v>
                </c:pt>
                <c:pt idx="7">
                  <c:v>2059.9611693110442</c:v>
                </c:pt>
                <c:pt idx="8">
                  <c:v>2158.7285799711285</c:v>
                </c:pt>
                <c:pt idx="9">
                  <c:v>2259.4252783351526</c:v>
                </c:pt>
                <c:pt idx="10">
                  <c:v>2360.1219766991762</c:v>
                </c:pt>
                <c:pt idx="11">
                  <c:v>2458.8893873592606</c:v>
                </c:pt>
                <c:pt idx="12">
                  <c:v>2557.6567980193449</c:v>
                </c:pt>
                <c:pt idx="13">
                  <c:v>2652.5656332715507</c:v>
                </c:pt>
                <c:pt idx="14">
                  <c:v>2743.615893115877</c:v>
                </c:pt>
                <c:pt idx="15">
                  <c:v>2828.8782898483846</c:v>
                </c:pt>
                <c:pt idx="16">
                  <c:v>2911.1255704500418</c:v>
                </c:pt>
                <c:pt idx="17">
                  <c:v>2988.6708163667918</c:v>
                </c:pt>
                <c:pt idx="18">
                  <c:v>3060.428199171723</c:v>
                </c:pt>
                <c:pt idx="19">
                  <c:v>3124.4684311608962</c:v>
                </c:pt>
                <c:pt idx="20">
                  <c:v>3178.8622246303717</c:v>
                </c:pt>
                <c:pt idx="21">
                  <c:v>3223.6095795801493</c:v>
                </c:pt>
                <c:pt idx="22">
                  <c:v>3258.7104960102297</c:v>
                </c:pt>
                <c:pt idx="23">
                  <c:v>3291.8821247363712</c:v>
                </c:pt>
                <c:pt idx="24">
                  <c:v>3321.1951780546328</c:v>
                </c:pt>
                <c:pt idx="25">
                  <c:v>3346.6496559650159</c:v>
                </c:pt>
                <c:pt idx="26">
                  <c:v>3368.2455584675199</c:v>
                </c:pt>
                <c:pt idx="27">
                  <c:v>3387.9121732660842</c:v>
                </c:pt>
                <c:pt idx="28">
                  <c:v>3405.6495003607088</c:v>
                </c:pt>
                <c:pt idx="29">
                  <c:v>3419.5282520474548</c:v>
                </c:pt>
                <c:pt idx="30">
                  <c:v>3429.5484283263213</c:v>
                </c:pt>
                <c:pt idx="31">
                  <c:v>3435.7100291973093</c:v>
                </c:pt>
                <c:pt idx="32">
                  <c:v>3439.9423423643575</c:v>
                </c:pt>
                <c:pt idx="33">
                  <c:v>3442.913024479295</c:v>
                </c:pt>
                <c:pt idx="34">
                  <c:v>3443.3076414903012</c:v>
                </c:pt>
                <c:pt idx="35">
                  <c:v>3443.7022585013074</c:v>
                </c:pt>
                <c:pt idx="36">
                  <c:v>3444.0759962604766</c:v>
                </c:pt>
                <c:pt idx="37">
                  <c:v>3444.4497340196458</c:v>
                </c:pt>
                <c:pt idx="38">
                  <c:v>3444.823471778815</c:v>
                </c:pt>
                <c:pt idx="39">
                  <c:v>3445.1972095379842</c:v>
                </c:pt>
                <c:pt idx="40">
                  <c:v>3445.5709472971535</c:v>
                </c:pt>
                <c:pt idx="41">
                  <c:v>3445.9446850563227</c:v>
                </c:pt>
                <c:pt idx="42">
                  <c:v>3446.3184228154919</c:v>
                </c:pt>
                <c:pt idx="43">
                  <c:v>3446.6921605746611</c:v>
                </c:pt>
                <c:pt idx="44">
                  <c:v>3447.0658983338303</c:v>
                </c:pt>
                <c:pt idx="45">
                  <c:v>3447.4396360929995</c:v>
                </c:pt>
                <c:pt idx="46">
                  <c:v>3447.8133738521683</c:v>
                </c:pt>
                <c:pt idx="47">
                  <c:v>3448.187111611338</c:v>
                </c:pt>
                <c:pt idx="48">
                  <c:v>3450.8467603338559</c:v>
                </c:pt>
                <c:pt idx="49">
                  <c:v>3458.0876552089203</c:v>
                </c:pt>
                <c:pt idx="50">
                  <c:v>3470.3140703109257</c:v>
                </c:pt>
                <c:pt idx="51">
                  <c:v>3487.8579765948048</c:v>
                </c:pt>
                <c:pt idx="52">
                  <c:v>3510.9742274464861</c:v>
                </c:pt>
              </c:numCache>
            </c:numRef>
          </c:val>
          <c:smooth val="1"/>
        </c:ser>
        <c:marker val="1"/>
        <c:axId val="154980736"/>
        <c:axId val="154982656"/>
      </c:lineChart>
      <c:lineChart>
        <c:grouping val="standard"/>
        <c:ser>
          <c:idx val="1"/>
          <c:order val="1"/>
          <c:tx>
            <c:strRef>
              <c:f>'Berechnung der Vergleichskurven'!$B$3</c:f>
              <c:strCache>
                <c:ptCount val="1"/>
                <c:pt idx="0">
                  <c:v>Ablesewerte Vorjahr 2021/2022</c:v>
                </c:pt>
              </c:strCache>
            </c:strRef>
          </c:tx>
          <c:spPr>
            <a:ln w="12700">
              <a:solidFill>
                <a:srgbClr val="FF00FF"/>
              </a:solidFill>
              <a:prstDash val="solid"/>
            </a:ln>
          </c:spPr>
          <c:marker>
            <c:symbol val="plus"/>
            <c:size val="10"/>
            <c:spPr>
              <a:solidFill>
                <a:srgbClr val="FFFFFF"/>
              </a:solidFill>
              <a:ln>
                <a:solidFill>
                  <a:srgbClr val="0000FF"/>
                </a:solidFill>
                <a:prstDash val="solid"/>
              </a:ln>
            </c:spPr>
          </c:marker>
          <c:cat>
            <c:numRef>
              <c:f>'Berechnung der Vergleichskurven'!$A$5:$A$187</c:f>
              <c:numCache>
                <c:formatCode>d/m/yy</c:formatCode>
                <c:ptCount val="183"/>
                <c:pt idx="0">
                  <c:v>44847</c:v>
                </c:pt>
                <c:pt idx="1">
                  <c:v>44854</c:v>
                </c:pt>
                <c:pt idx="2">
                  <c:v>44861</c:v>
                </c:pt>
                <c:pt idx="3">
                  <c:v>44868</c:v>
                </c:pt>
                <c:pt idx="4">
                  <c:v>44875</c:v>
                </c:pt>
                <c:pt idx="5">
                  <c:v>44882</c:v>
                </c:pt>
                <c:pt idx="6">
                  <c:v>44889</c:v>
                </c:pt>
                <c:pt idx="7">
                  <c:v>44896</c:v>
                </c:pt>
                <c:pt idx="8">
                  <c:v>44903</c:v>
                </c:pt>
                <c:pt idx="9">
                  <c:v>44910</c:v>
                </c:pt>
                <c:pt idx="10">
                  <c:v>44917</c:v>
                </c:pt>
                <c:pt idx="11">
                  <c:v>44924</c:v>
                </c:pt>
                <c:pt idx="12">
                  <c:v>44931</c:v>
                </c:pt>
                <c:pt idx="13">
                  <c:v>44938</c:v>
                </c:pt>
                <c:pt idx="14">
                  <c:v>44945</c:v>
                </c:pt>
                <c:pt idx="15">
                  <c:v>44952</c:v>
                </c:pt>
                <c:pt idx="16">
                  <c:v>44959</c:v>
                </c:pt>
                <c:pt idx="17">
                  <c:v>44966</c:v>
                </c:pt>
                <c:pt idx="18">
                  <c:v>44973</c:v>
                </c:pt>
                <c:pt idx="19">
                  <c:v>44980</c:v>
                </c:pt>
                <c:pt idx="20">
                  <c:v>44987</c:v>
                </c:pt>
                <c:pt idx="21">
                  <c:v>44994</c:v>
                </c:pt>
                <c:pt idx="22">
                  <c:v>45001</c:v>
                </c:pt>
                <c:pt idx="23">
                  <c:v>45008</c:v>
                </c:pt>
                <c:pt idx="24">
                  <c:v>45015</c:v>
                </c:pt>
                <c:pt idx="25">
                  <c:v>45022</c:v>
                </c:pt>
                <c:pt idx="26">
                  <c:v>45029</c:v>
                </c:pt>
                <c:pt idx="27">
                  <c:v>45036</c:v>
                </c:pt>
                <c:pt idx="28">
                  <c:v>45043</c:v>
                </c:pt>
                <c:pt idx="29">
                  <c:v>45050</c:v>
                </c:pt>
                <c:pt idx="30">
                  <c:v>45057</c:v>
                </c:pt>
                <c:pt idx="31">
                  <c:v>45064</c:v>
                </c:pt>
                <c:pt idx="32">
                  <c:v>45071</c:v>
                </c:pt>
                <c:pt idx="33">
                  <c:v>45078</c:v>
                </c:pt>
                <c:pt idx="34">
                  <c:v>45085</c:v>
                </c:pt>
                <c:pt idx="35">
                  <c:v>45092</c:v>
                </c:pt>
                <c:pt idx="36">
                  <c:v>45099</c:v>
                </c:pt>
                <c:pt idx="37">
                  <c:v>45106</c:v>
                </c:pt>
                <c:pt idx="38">
                  <c:v>45113</c:v>
                </c:pt>
                <c:pt idx="39">
                  <c:v>45120</c:v>
                </c:pt>
                <c:pt idx="40">
                  <c:v>45127</c:v>
                </c:pt>
                <c:pt idx="41">
                  <c:v>45134</c:v>
                </c:pt>
                <c:pt idx="42">
                  <c:v>45141</c:v>
                </c:pt>
                <c:pt idx="43">
                  <c:v>45148</c:v>
                </c:pt>
                <c:pt idx="44">
                  <c:v>45155</c:v>
                </c:pt>
                <c:pt idx="45">
                  <c:v>45162</c:v>
                </c:pt>
                <c:pt idx="46">
                  <c:v>45169</c:v>
                </c:pt>
                <c:pt idx="47">
                  <c:v>45176</c:v>
                </c:pt>
                <c:pt idx="48">
                  <c:v>45183</c:v>
                </c:pt>
                <c:pt idx="49">
                  <c:v>45190</c:v>
                </c:pt>
                <c:pt idx="50">
                  <c:v>45197</c:v>
                </c:pt>
                <c:pt idx="51">
                  <c:v>45204</c:v>
                </c:pt>
                <c:pt idx="52">
                  <c:v>45211</c:v>
                </c:pt>
              </c:numCache>
            </c:numRef>
          </c:cat>
          <c:val>
            <c:numRef>
              <c:f>'Berechnung der Vergleichskurven'!$B$5:$B$57</c:f>
              <c:numCache>
                <c:formatCode>General</c:formatCode>
                <c:ptCount val="53"/>
                <c:pt idx="52" formatCode="0.00">
                  <c:v>1948.7754585247621</c:v>
                </c:pt>
              </c:numCache>
            </c:numRef>
          </c:val>
        </c:ser>
        <c:marker val="1"/>
        <c:axId val="154865664"/>
        <c:axId val="154867200"/>
      </c:lineChart>
      <c:dateAx>
        <c:axId val="154980736"/>
        <c:scaling>
          <c:orientation val="minMax"/>
        </c:scaling>
        <c:delete val="1"/>
        <c:axPos val="b"/>
        <c:majorGridlines>
          <c:spPr>
            <a:ln w="3175">
              <a:solidFill>
                <a:srgbClr val="000000"/>
              </a:solidFill>
              <a:prstDash val="sysDash"/>
            </a:ln>
          </c:spPr>
        </c:majorGridlines>
        <c:numFmt formatCode="d/m/yy" sourceLinked="1"/>
        <c:tickLblPos val="nextTo"/>
        <c:crossAx val="154982656"/>
        <c:crosses val="autoZero"/>
        <c:lblOffset val="100"/>
        <c:baseTimeUnit val="days"/>
        <c:majorUnit val="28"/>
        <c:majorTimeUnit val="days"/>
      </c:dateAx>
      <c:valAx>
        <c:axId val="154982656"/>
        <c:scaling>
          <c:orientation val="minMax"/>
          <c:max val="800"/>
          <c:min val="100"/>
        </c:scaling>
        <c:delete val="1"/>
        <c:axPos val="l"/>
        <c:majorGridlines>
          <c:spPr>
            <a:ln w="3175">
              <a:solidFill>
                <a:srgbClr val="000000"/>
              </a:solidFill>
              <a:prstDash val="sysDash"/>
            </a:ln>
          </c:spPr>
        </c:majorGridlines>
        <c:numFmt formatCode="General" sourceLinked="1"/>
        <c:tickLblPos val="nextTo"/>
        <c:crossAx val="154980736"/>
        <c:crosses val="autoZero"/>
        <c:crossBetween val="midCat"/>
        <c:minorUnit val="10"/>
      </c:valAx>
      <c:dateAx>
        <c:axId val="154865664"/>
        <c:scaling>
          <c:orientation val="minMax"/>
        </c:scaling>
        <c:delete val="1"/>
        <c:axPos val="b"/>
        <c:numFmt formatCode="d/m/yy" sourceLinked="1"/>
        <c:tickLblPos val="nextTo"/>
        <c:crossAx val="154867200"/>
        <c:crosses val="autoZero"/>
        <c:auto val="1"/>
        <c:lblOffset val="100"/>
      </c:dateAx>
      <c:valAx>
        <c:axId val="154867200"/>
        <c:scaling>
          <c:orientation val="minMax"/>
          <c:max val="800"/>
          <c:min val="100"/>
        </c:scaling>
        <c:delete val="1"/>
        <c:axPos val="r"/>
        <c:numFmt formatCode="General" sourceLinked="1"/>
        <c:tickLblPos val="nextTo"/>
        <c:crossAx val="154865664"/>
        <c:crosses val="max"/>
        <c:crossBetween val="midCat"/>
      </c:valAx>
      <c:spPr>
        <a:noFill/>
        <a:ln w="12700">
          <a:solidFill>
            <a:srgbClr val="808080"/>
          </a:solidFill>
          <a:prstDash val="solid"/>
        </a:ln>
      </c:spPr>
    </c:plotArea>
    <c:plotVisOnly val="1"/>
    <c:dispBlanksAs val="gap"/>
  </c:chart>
  <c:spPr>
    <a:noFill/>
    <a:ln w="9525">
      <a:noFill/>
    </a:ln>
  </c:spPr>
  <c:txPr>
    <a:bodyPr/>
    <a:lstStyle/>
    <a:p>
      <a:pPr>
        <a:defRPr sz="26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78" footer="0.49212598450000078"/>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32</xdr:col>
      <xdr:colOff>198120</xdr:colOff>
      <xdr:row>3</xdr:row>
      <xdr:rowOff>0</xdr:rowOff>
    </xdr:from>
    <xdr:to>
      <xdr:col>41</xdr:col>
      <xdr:colOff>449580</xdr:colOff>
      <xdr:row>18</xdr:row>
      <xdr:rowOff>30480</xdr:rowOff>
    </xdr:to>
    <xdr:graphicFrame macro="">
      <xdr:nvGraphicFramePr>
        <xdr:cNvPr id="205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472440</xdr:colOff>
      <xdr:row>4</xdr:row>
      <xdr:rowOff>137160</xdr:rowOff>
    </xdr:from>
    <xdr:to>
      <xdr:col>0</xdr:col>
      <xdr:colOff>952500</xdr:colOff>
      <xdr:row>4</xdr:row>
      <xdr:rowOff>137160</xdr:rowOff>
    </xdr:to>
    <xdr:sp macro="" textlink="">
      <xdr:nvSpPr>
        <xdr:cNvPr id="2060" name="Line 12"/>
        <xdr:cNvSpPr>
          <a:spLocks noChangeShapeType="1"/>
        </xdr:cNvSpPr>
      </xdr:nvSpPr>
      <xdr:spPr bwMode="auto">
        <a:xfrm>
          <a:off x="472440" y="861060"/>
          <a:ext cx="480060" cy="0"/>
        </a:xfrm>
        <a:prstGeom prst="line">
          <a:avLst/>
        </a:prstGeom>
        <a:noFill/>
        <a:ln w="50800">
          <a:solidFill>
            <a:srgbClr val="339933"/>
          </a:solidFill>
          <a:round/>
          <a:headEnd/>
          <a:tailEnd type="stealth" w="med" len="med"/>
        </a:ln>
      </xdr:spPr>
    </xdr:sp>
    <xdr:clientData/>
  </xdr:twoCellAnchor>
  <xdr:twoCellAnchor>
    <xdr:from>
      <xdr:col>1</xdr:col>
      <xdr:colOff>68580</xdr:colOff>
      <xdr:row>0</xdr:row>
      <xdr:rowOff>38100</xdr:rowOff>
    </xdr:from>
    <xdr:to>
      <xdr:col>1</xdr:col>
      <xdr:colOff>7292340</xdr:colOff>
      <xdr:row>19</xdr:row>
      <xdr:rowOff>228600</xdr:rowOff>
    </xdr:to>
    <xdr:graphicFrame macro="">
      <xdr:nvGraphicFramePr>
        <xdr:cNvPr id="206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7268816</xdr:colOff>
      <xdr:row>4</xdr:row>
      <xdr:rowOff>27830</xdr:rowOff>
    </xdr:from>
    <xdr:to>
      <xdr:col>2</xdr:col>
      <xdr:colOff>185531</xdr:colOff>
      <xdr:row>4</xdr:row>
      <xdr:rowOff>73549</xdr:rowOff>
    </xdr:to>
    <xdr:sp macro="" textlink="">
      <xdr:nvSpPr>
        <xdr:cNvPr id="8" name="Line 12"/>
        <xdr:cNvSpPr>
          <a:spLocks noChangeShapeType="1"/>
        </xdr:cNvSpPr>
      </xdr:nvSpPr>
      <xdr:spPr bwMode="auto">
        <a:xfrm flipH="1">
          <a:off x="8249477" y="756700"/>
          <a:ext cx="503584" cy="45719"/>
        </a:xfrm>
        <a:prstGeom prst="line">
          <a:avLst/>
        </a:prstGeom>
        <a:noFill/>
        <a:ln w="50800">
          <a:solidFill>
            <a:srgbClr val="339933"/>
          </a:solidFill>
          <a:round/>
          <a:headEnd/>
          <a:tailEnd type="stealth"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251460</xdr:colOff>
      <xdr:row>0</xdr:row>
      <xdr:rowOff>7620</xdr:rowOff>
    </xdr:from>
    <xdr:to>
      <xdr:col>11</xdr:col>
      <xdr:colOff>38100</xdr:colOff>
      <xdr:row>3</xdr:row>
      <xdr:rowOff>792480</xdr:rowOff>
    </xdr:to>
    <xdr:graphicFrame macro="">
      <xdr:nvGraphicFramePr>
        <xdr:cNvPr id="4158"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388620</xdr:colOff>
      <xdr:row>0</xdr:row>
      <xdr:rowOff>198120</xdr:rowOff>
    </xdr:from>
    <xdr:to>
      <xdr:col>0</xdr:col>
      <xdr:colOff>411480</xdr:colOff>
      <xdr:row>0</xdr:row>
      <xdr:rowOff>868680</xdr:rowOff>
    </xdr:to>
    <xdr:sp macro="" textlink="">
      <xdr:nvSpPr>
        <xdr:cNvPr id="6152" name="Line 8"/>
        <xdr:cNvSpPr>
          <a:spLocks noChangeShapeType="1"/>
        </xdr:cNvSpPr>
      </xdr:nvSpPr>
      <xdr:spPr bwMode="auto">
        <a:xfrm flipH="1">
          <a:off x="388620" y="198120"/>
          <a:ext cx="22860" cy="670560"/>
        </a:xfrm>
        <a:prstGeom prst="line">
          <a:avLst/>
        </a:prstGeom>
        <a:noFill/>
        <a:ln w="9525">
          <a:solidFill>
            <a:srgbClr val="000000"/>
          </a:solidFill>
          <a:round/>
          <a:headEnd/>
          <a:tailEnd type="triangle" w="med" len="med"/>
        </a:ln>
      </xdr:spPr>
    </xdr:sp>
    <xdr:clientData/>
  </xdr:twoCellAnchor>
  <xdr:twoCellAnchor>
    <xdr:from>
      <xdr:col>13</xdr:col>
      <xdr:colOff>784860</xdr:colOff>
      <xdr:row>48</xdr:row>
      <xdr:rowOff>129540</xdr:rowOff>
    </xdr:from>
    <xdr:to>
      <xdr:col>17</xdr:col>
      <xdr:colOff>373380</xdr:colOff>
      <xdr:row>59</xdr:row>
      <xdr:rowOff>22860</xdr:rowOff>
    </xdr:to>
    <xdr:grpSp>
      <xdr:nvGrpSpPr>
        <xdr:cNvPr id="6164" name="Group 20"/>
        <xdr:cNvGrpSpPr>
          <a:grpSpLocks/>
        </xdr:cNvGrpSpPr>
      </xdr:nvGrpSpPr>
      <xdr:grpSpPr bwMode="auto">
        <a:xfrm>
          <a:off x="11791527" y="9095740"/>
          <a:ext cx="2771986" cy="1755987"/>
          <a:chOff x="748" y="920"/>
          <a:chExt cx="320" cy="176"/>
        </a:xfrm>
      </xdr:grpSpPr>
      <xdr:sp macro="" textlink="">
        <xdr:nvSpPr>
          <xdr:cNvPr id="6154" name="Freeform 10"/>
          <xdr:cNvSpPr>
            <a:spLocks/>
          </xdr:cNvSpPr>
        </xdr:nvSpPr>
        <xdr:spPr bwMode="auto">
          <a:xfrm>
            <a:off x="748" y="920"/>
            <a:ext cx="320" cy="176"/>
          </a:xfrm>
          <a:custGeom>
            <a:avLst/>
            <a:gdLst/>
            <a:ahLst/>
            <a:cxnLst>
              <a:cxn ang="0">
                <a:pos x="0" y="167"/>
              </a:cxn>
              <a:cxn ang="0">
                <a:pos x="0" y="20"/>
              </a:cxn>
              <a:cxn ang="0">
                <a:pos x="82" y="21"/>
              </a:cxn>
              <a:cxn ang="0">
                <a:pos x="81" y="54"/>
              </a:cxn>
              <a:cxn ang="0">
                <a:pos x="160" y="56"/>
              </a:cxn>
              <a:cxn ang="0">
                <a:pos x="161" y="107"/>
              </a:cxn>
              <a:cxn ang="0">
                <a:pos x="242" y="101"/>
              </a:cxn>
              <a:cxn ang="0">
                <a:pos x="239" y="0"/>
              </a:cxn>
              <a:cxn ang="0">
                <a:pos x="320" y="1"/>
              </a:cxn>
              <a:cxn ang="0">
                <a:pos x="320" y="176"/>
              </a:cxn>
              <a:cxn ang="0">
                <a:pos x="1" y="169"/>
              </a:cxn>
            </a:cxnLst>
            <a:rect l="0" t="0" r="r" b="b"/>
            <a:pathLst>
              <a:path w="320" h="176">
                <a:moveTo>
                  <a:pt x="0" y="167"/>
                </a:moveTo>
                <a:lnTo>
                  <a:pt x="0" y="20"/>
                </a:lnTo>
                <a:lnTo>
                  <a:pt x="82" y="21"/>
                </a:lnTo>
                <a:lnTo>
                  <a:pt x="81" y="54"/>
                </a:lnTo>
                <a:lnTo>
                  <a:pt x="160" y="56"/>
                </a:lnTo>
                <a:lnTo>
                  <a:pt x="161" y="107"/>
                </a:lnTo>
                <a:lnTo>
                  <a:pt x="242" y="101"/>
                </a:lnTo>
                <a:lnTo>
                  <a:pt x="239" y="0"/>
                </a:lnTo>
                <a:lnTo>
                  <a:pt x="320" y="1"/>
                </a:lnTo>
                <a:lnTo>
                  <a:pt x="320" y="176"/>
                </a:lnTo>
                <a:lnTo>
                  <a:pt x="1" y="169"/>
                </a:lnTo>
              </a:path>
            </a:pathLst>
          </a:custGeom>
          <a:noFill/>
          <a:ln w="9525">
            <a:solidFill>
              <a:srgbClr val="000000"/>
            </a:solidFill>
            <a:round/>
            <a:headEnd/>
            <a:tailEnd/>
          </a:ln>
        </xdr:spPr>
      </xdr:sp>
      <xdr:sp macro="" textlink="">
        <xdr:nvSpPr>
          <xdr:cNvPr id="6157" name="Line 13"/>
          <xdr:cNvSpPr>
            <a:spLocks noChangeShapeType="1"/>
          </xdr:cNvSpPr>
        </xdr:nvSpPr>
        <xdr:spPr bwMode="auto">
          <a:xfrm>
            <a:off x="770" y="941"/>
            <a:ext cx="36" cy="0"/>
          </a:xfrm>
          <a:prstGeom prst="line">
            <a:avLst/>
          </a:prstGeom>
          <a:noFill/>
          <a:ln w="28575">
            <a:solidFill>
              <a:srgbClr val="0000FF"/>
            </a:solidFill>
            <a:round/>
            <a:headEnd/>
            <a:tailEnd/>
          </a:ln>
        </xdr:spPr>
      </xdr:sp>
      <xdr:sp macro="" textlink="">
        <xdr:nvSpPr>
          <xdr:cNvPr id="6158" name="Line 14"/>
          <xdr:cNvSpPr>
            <a:spLocks noChangeShapeType="1"/>
          </xdr:cNvSpPr>
        </xdr:nvSpPr>
        <xdr:spPr bwMode="auto">
          <a:xfrm>
            <a:off x="809" y="957"/>
            <a:ext cx="36" cy="0"/>
          </a:xfrm>
          <a:prstGeom prst="line">
            <a:avLst/>
          </a:prstGeom>
          <a:noFill/>
          <a:ln w="28575">
            <a:solidFill>
              <a:srgbClr val="0000FF"/>
            </a:solidFill>
            <a:round/>
            <a:headEnd/>
            <a:tailEnd/>
          </a:ln>
        </xdr:spPr>
      </xdr:sp>
      <xdr:sp macro="" textlink="">
        <xdr:nvSpPr>
          <xdr:cNvPr id="6159" name="Line 15"/>
          <xdr:cNvSpPr>
            <a:spLocks noChangeShapeType="1"/>
          </xdr:cNvSpPr>
        </xdr:nvSpPr>
        <xdr:spPr bwMode="auto">
          <a:xfrm>
            <a:off x="852" y="976"/>
            <a:ext cx="36" cy="0"/>
          </a:xfrm>
          <a:prstGeom prst="line">
            <a:avLst/>
          </a:prstGeom>
          <a:noFill/>
          <a:ln w="28575">
            <a:solidFill>
              <a:srgbClr val="0000FF"/>
            </a:solidFill>
            <a:round/>
            <a:headEnd/>
            <a:tailEnd/>
          </a:ln>
        </xdr:spPr>
      </xdr:sp>
      <xdr:sp macro="" textlink="">
        <xdr:nvSpPr>
          <xdr:cNvPr id="6160" name="Line 16"/>
          <xdr:cNvSpPr>
            <a:spLocks noChangeShapeType="1"/>
          </xdr:cNvSpPr>
        </xdr:nvSpPr>
        <xdr:spPr bwMode="auto">
          <a:xfrm>
            <a:off x="892" y="1000"/>
            <a:ext cx="36" cy="0"/>
          </a:xfrm>
          <a:prstGeom prst="line">
            <a:avLst/>
          </a:prstGeom>
          <a:noFill/>
          <a:ln w="28575">
            <a:solidFill>
              <a:srgbClr val="0000FF"/>
            </a:solidFill>
            <a:round/>
            <a:headEnd/>
            <a:tailEnd/>
          </a:ln>
        </xdr:spPr>
      </xdr:sp>
      <xdr:sp macro="" textlink="">
        <xdr:nvSpPr>
          <xdr:cNvPr id="6161" name="Line 17"/>
          <xdr:cNvSpPr>
            <a:spLocks noChangeShapeType="1"/>
          </xdr:cNvSpPr>
        </xdr:nvSpPr>
        <xdr:spPr bwMode="auto">
          <a:xfrm>
            <a:off x="936" y="1025"/>
            <a:ext cx="36" cy="0"/>
          </a:xfrm>
          <a:prstGeom prst="line">
            <a:avLst/>
          </a:prstGeom>
          <a:noFill/>
          <a:ln w="28575">
            <a:solidFill>
              <a:srgbClr val="0000FF"/>
            </a:solidFill>
            <a:round/>
            <a:headEnd/>
            <a:tailEnd/>
          </a:ln>
        </xdr:spPr>
      </xdr:sp>
      <xdr:sp macro="" textlink="">
        <xdr:nvSpPr>
          <xdr:cNvPr id="6162" name="Line 18"/>
          <xdr:cNvSpPr>
            <a:spLocks noChangeShapeType="1"/>
          </xdr:cNvSpPr>
        </xdr:nvSpPr>
        <xdr:spPr bwMode="auto">
          <a:xfrm>
            <a:off x="967" y="968"/>
            <a:ext cx="36" cy="0"/>
          </a:xfrm>
          <a:prstGeom prst="line">
            <a:avLst/>
          </a:prstGeom>
          <a:noFill/>
          <a:ln w="28575">
            <a:solidFill>
              <a:srgbClr val="0000FF"/>
            </a:solidFill>
            <a:round/>
            <a:headEnd/>
            <a:tailEnd/>
          </a:ln>
        </xdr:spPr>
      </xdr:sp>
      <xdr:sp macro="" textlink="">
        <xdr:nvSpPr>
          <xdr:cNvPr id="6163" name="Line 19"/>
          <xdr:cNvSpPr>
            <a:spLocks noChangeShapeType="1"/>
          </xdr:cNvSpPr>
        </xdr:nvSpPr>
        <xdr:spPr bwMode="auto">
          <a:xfrm>
            <a:off x="1016" y="920"/>
            <a:ext cx="36" cy="0"/>
          </a:xfrm>
          <a:prstGeom prst="line">
            <a:avLst/>
          </a:prstGeom>
          <a:noFill/>
          <a:ln w="28575">
            <a:solidFill>
              <a:srgbClr val="0000FF"/>
            </a:solidFill>
            <a:round/>
            <a:headEnd/>
            <a:tailEnd/>
          </a:ln>
        </xdr:spPr>
      </xdr:sp>
    </xdr:grpSp>
    <xdr:clientData/>
  </xdr:twoCellAnchor>
  <xdr:twoCellAnchor>
    <xdr:from>
      <xdr:col>13</xdr:col>
      <xdr:colOff>784860</xdr:colOff>
      <xdr:row>59</xdr:row>
      <xdr:rowOff>106680</xdr:rowOff>
    </xdr:from>
    <xdr:to>
      <xdr:col>17</xdr:col>
      <xdr:colOff>373380</xdr:colOff>
      <xdr:row>70</xdr:row>
      <xdr:rowOff>0</xdr:rowOff>
    </xdr:to>
    <xdr:sp macro="" textlink="">
      <xdr:nvSpPr>
        <xdr:cNvPr id="6166" name="Freeform 22"/>
        <xdr:cNvSpPr>
          <a:spLocks/>
        </xdr:cNvSpPr>
      </xdr:nvSpPr>
      <xdr:spPr bwMode="auto">
        <a:xfrm>
          <a:off x="11757660" y="10850880"/>
          <a:ext cx="2758440" cy="1737360"/>
        </a:xfrm>
        <a:custGeom>
          <a:avLst/>
          <a:gdLst/>
          <a:ahLst/>
          <a:cxnLst>
            <a:cxn ang="0">
              <a:pos x="0" y="167"/>
            </a:cxn>
            <a:cxn ang="0">
              <a:pos x="0" y="20"/>
            </a:cxn>
            <a:cxn ang="0">
              <a:pos x="82" y="21"/>
            </a:cxn>
            <a:cxn ang="0">
              <a:pos x="81" y="54"/>
            </a:cxn>
            <a:cxn ang="0">
              <a:pos x="160" y="56"/>
            </a:cxn>
            <a:cxn ang="0">
              <a:pos x="161" y="107"/>
            </a:cxn>
            <a:cxn ang="0">
              <a:pos x="242" y="101"/>
            </a:cxn>
            <a:cxn ang="0">
              <a:pos x="239" y="0"/>
            </a:cxn>
            <a:cxn ang="0">
              <a:pos x="320" y="1"/>
            </a:cxn>
            <a:cxn ang="0">
              <a:pos x="320" y="176"/>
            </a:cxn>
            <a:cxn ang="0">
              <a:pos x="1" y="169"/>
            </a:cxn>
          </a:cxnLst>
          <a:rect l="0" t="0" r="r" b="b"/>
          <a:pathLst>
            <a:path w="320" h="176">
              <a:moveTo>
                <a:pt x="0" y="167"/>
              </a:moveTo>
              <a:lnTo>
                <a:pt x="0" y="20"/>
              </a:lnTo>
              <a:lnTo>
                <a:pt x="82" y="21"/>
              </a:lnTo>
              <a:lnTo>
                <a:pt x="81" y="54"/>
              </a:lnTo>
              <a:lnTo>
                <a:pt x="160" y="56"/>
              </a:lnTo>
              <a:lnTo>
                <a:pt x="161" y="107"/>
              </a:lnTo>
              <a:lnTo>
                <a:pt x="242" y="101"/>
              </a:lnTo>
              <a:lnTo>
                <a:pt x="239" y="0"/>
              </a:lnTo>
              <a:lnTo>
                <a:pt x="320" y="1"/>
              </a:lnTo>
              <a:lnTo>
                <a:pt x="320" y="176"/>
              </a:lnTo>
              <a:lnTo>
                <a:pt x="1" y="169"/>
              </a:lnTo>
            </a:path>
          </a:pathLst>
        </a:custGeom>
        <a:noFill/>
        <a:ln w="9525">
          <a:solidFill>
            <a:srgbClr val="000000"/>
          </a:solidFill>
          <a:round/>
          <a:headEnd/>
          <a:tailEnd/>
        </a:ln>
      </xdr:spPr>
    </xdr:sp>
    <xdr:clientData/>
  </xdr:twoCellAnchor>
  <xdr:twoCellAnchor>
    <xdr:from>
      <xdr:col>13</xdr:col>
      <xdr:colOff>784860</xdr:colOff>
      <xdr:row>60</xdr:row>
      <xdr:rowOff>129540</xdr:rowOff>
    </xdr:from>
    <xdr:to>
      <xdr:col>14</xdr:col>
      <xdr:colOff>495300</xdr:colOff>
      <xdr:row>60</xdr:row>
      <xdr:rowOff>144780</xdr:rowOff>
    </xdr:to>
    <xdr:sp macro="" textlink="">
      <xdr:nvSpPr>
        <xdr:cNvPr id="6167" name="Line 23"/>
        <xdr:cNvSpPr>
          <a:spLocks noChangeShapeType="1"/>
        </xdr:cNvSpPr>
      </xdr:nvSpPr>
      <xdr:spPr bwMode="auto">
        <a:xfrm>
          <a:off x="11757660" y="11041380"/>
          <a:ext cx="502920" cy="15240"/>
        </a:xfrm>
        <a:prstGeom prst="line">
          <a:avLst/>
        </a:prstGeom>
        <a:noFill/>
        <a:ln w="28575">
          <a:solidFill>
            <a:srgbClr val="0000FF"/>
          </a:solidFill>
          <a:round/>
          <a:headEnd/>
          <a:tailEnd/>
        </a:ln>
      </xdr:spPr>
    </xdr:sp>
    <xdr:clientData/>
  </xdr:twoCellAnchor>
  <xdr:twoCellAnchor>
    <xdr:from>
      <xdr:col>14</xdr:col>
      <xdr:colOff>518160</xdr:colOff>
      <xdr:row>61</xdr:row>
      <xdr:rowOff>137160</xdr:rowOff>
    </xdr:from>
    <xdr:to>
      <xdr:col>15</xdr:col>
      <xdr:colOff>38100</xdr:colOff>
      <xdr:row>61</xdr:row>
      <xdr:rowOff>137160</xdr:rowOff>
    </xdr:to>
    <xdr:sp macro="" textlink="">
      <xdr:nvSpPr>
        <xdr:cNvPr id="6168" name="Line 24"/>
        <xdr:cNvSpPr>
          <a:spLocks noChangeShapeType="1"/>
        </xdr:cNvSpPr>
      </xdr:nvSpPr>
      <xdr:spPr bwMode="auto">
        <a:xfrm>
          <a:off x="12283440" y="11216640"/>
          <a:ext cx="312420" cy="0"/>
        </a:xfrm>
        <a:prstGeom prst="line">
          <a:avLst/>
        </a:prstGeom>
        <a:noFill/>
        <a:ln w="28575">
          <a:solidFill>
            <a:srgbClr val="0000FF"/>
          </a:solidFill>
          <a:round/>
          <a:headEnd/>
          <a:tailEnd/>
        </a:ln>
      </xdr:spPr>
    </xdr:sp>
    <xdr:clientData/>
  </xdr:twoCellAnchor>
  <xdr:twoCellAnchor>
    <xdr:from>
      <xdr:col>15</xdr:col>
      <xdr:colOff>99060</xdr:colOff>
      <xdr:row>62</xdr:row>
      <xdr:rowOff>160020</xdr:rowOff>
    </xdr:from>
    <xdr:to>
      <xdr:col>15</xdr:col>
      <xdr:colOff>403860</xdr:colOff>
      <xdr:row>62</xdr:row>
      <xdr:rowOff>160020</xdr:rowOff>
    </xdr:to>
    <xdr:sp macro="" textlink="">
      <xdr:nvSpPr>
        <xdr:cNvPr id="6169" name="Line 25"/>
        <xdr:cNvSpPr>
          <a:spLocks noChangeShapeType="1"/>
        </xdr:cNvSpPr>
      </xdr:nvSpPr>
      <xdr:spPr bwMode="auto">
        <a:xfrm>
          <a:off x="12656820" y="11407140"/>
          <a:ext cx="304800" cy="0"/>
        </a:xfrm>
        <a:prstGeom prst="line">
          <a:avLst/>
        </a:prstGeom>
        <a:noFill/>
        <a:ln w="28575">
          <a:solidFill>
            <a:srgbClr val="0000FF"/>
          </a:solidFill>
          <a:round/>
          <a:headEnd/>
          <a:tailEnd/>
        </a:ln>
      </xdr:spPr>
    </xdr:sp>
    <xdr:clientData/>
  </xdr:twoCellAnchor>
  <xdr:twoCellAnchor>
    <xdr:from>
      <xdr:col>15</xdr:col>
      <xdr:colOff>449580</xdr:colOff>
      <xdr:row>64</xdr:row>
      <xdr:rowOff>60960</xdr:rowOff>
    </xdr:from>
    <xdr:to>
      <xdr:col>15</xdr:col>
      <xdr:colOff>754380</xdr:colOff>
      <xdr:row>64</xdr:row>
      <xdr:rowOff>60960</xdr:rowOff>
    </xdr:to>
    <xdr:sp macro="" textlink="">
      <xdr:nvSpPr>
        <xdr:cNvPr id="6170" name="Line 26"/>
        <xdr:cNvSpPr>
          <a:spLocks noChangeShapeType="1"/>
        </xdr:cNvSpPr>
      </xdr:nvSpPr>
      <xdr:spPr bwMode="auto">
        <a:xfrm>
          <a:off x="13007340" y="11643360"/>
          <a:ext cx="304800" cy="0"/>
        </a:xfrm>
        <a:prstGeom prst="line">
          <a:avLst/>
        </a:prstGeom>
        <a:noFill/>
        <a:ln w="28575">
          <a:solidFill>
            <a:srgbClr val="0000FF"/>
          </a:solidFill>
          <a:round/>
          <a:headEnd/>
          <a:tailEnd/>
        </a:ln>
      </xdr:spPr>
    </xdr:sp>
    <xdr:clientData/>
  </xdr:twoCellAnchor>
  <xdr:twoCellAnchor>
    <xdr:from>
      <xdr:col>16</xdr:col>
      <xdr:colOff>30480</xdr:colOff>
      <xdr:row>65</xdr:row>
      <xdr:rowOff>137160</xdr:rowOff>
    </xdr:from>
    <xdr:to>
      <xdr:col>16</xdr:col>
      <xdr:colOff>335280</xdr:colOff>
      <xdr:row>65</xdr:row>
      <xdr:rowOff>137160</xdr:rowOff>
    </xdr:to>
    <xdr:sp macro="" textlink="">
      <xdr:nvSpPr>
        <xdr:cNvPr id="6171" name="Line 27"/>
        <xdr:cNvSpPr>
          <a:spLocks noChangeShapeType="1"/>
        </xdr:cNvSpPr>
      </xdr:nvSpPr>
      <xdr:spPr bwMode="auto">
        <a:xfrm>
          <a:off x="13380720" y="11887200"/>
          <a:ext cx="304800" cy="0"/>
        </a:xfrm>
        <a:prstGeom prst="line">
          <a:avLst/>
        </a:prstGeom>
        <a:noFill/>
        <a:ln w="28575">
          <a:solidFill>
            <a:srgbClr val="0000FF"/>
          </a:solidFill>
          <a:round/>
          <a:headEnd/>
          <a:tailEnd/>
        </a:ln>
      </xdr:spPr>
    </xdr:sp>
    <xdr:clientData/>
  </xdr:twoCellAnchor>
  <xdr:twoCellAnchor>
    <xdr:from>
      <xdr:col>16</xdr:col>
      <xdr:colOff>297180</xdr:colOff>
      <xdr:row>62</xdr:row>
      <xdr:rowOff>76200</xdr:rowOff>
    </xdr:from>
    <xdr:to>
      <xdr:col>16</xdr:col>
      <xdr:colOff>601980</xdr:colOff>
      <xdr:row>62</xdr:row>
      <xdr:rowOff>76200</xdr:rowOff>
    </xdr:to>
    <xdr:sp macro="" textlink="">
      <xdr:nvSpPr>
        <xdr:cNvPr id="6172" name="Line 28"/>
        <xdr:cNvSpPr>
          <a:spLocks noChangeShapeType="1"/>
        </xdr:cNvSpPr>
      </xdr:nvSpPr>
      <xdr:spPr bwMode="auto">
        <a:xfrm>
          <a:off x="13647420" y="11323320"/>
          <a:ext cx="304800" cy="0"/>
        </a:xfrm>
        <a:prstGeom prst="line">
          <a:avLst/>
        </a:prstGeom>
        <a:noFill/>
        <a:ln w="28575">
          <a:solidFill>
            <a:srgbClr val="0000FF"/>
          </a:solidFill>
          <a:round/>
          <a:headEnd/>
          <a:tailEnd/>
        </a:ln>
      </xdr:spPr>
    </xdr:sp>
    <xdr:clientData/>
  </xdr:twoCellAnchor>
  <xdr:twoCellAnchor>
    <xdr:from>
      <xdr:col>16</xdr:col>
      <xdr:colOff>723900</xdr:colOff>
      <xdr:row>59</xdr:row>
      <xdr:rowOff>106680</xdr:rowOff>
    </xdr:from>
    <xdr:to>
      <xdr:col>17</xdr:col>
      <xdr:colOff>365760</xdr:colOff>
      <xdr:row>59</xdr:row>
      <xdr:rowOff>121920</xdr:rowOff>
    </xdr:to>
    <xdr:sp macro="" textlink="">
      <xdr:nvSpPr>
        <xdr:cNvPr id="6173" name="Line 29"/>
        <xdr:cNvSpPr>
          <a:spLocks noChangeShapeType="1"/>
        </xdr:cNvSpPr>
      </xdr:nvSpPr>
      <xdr:spPr bwMode="auto">
        <a:xfrm>
          <a:off x="14074140" y="10850880"/>
          <a:ext cx="434340" cy="15240"/>
        </a:xfrm>
        <a:prstGeom prst="line">
          <a:avLst/>
        </a:prstGeom>
        <a:noFill/>
        <a:ln w="28575">
          <a:solidFill>
            <a:srgbClr val="0000FF"/>
          </a:solidFill>
          <a:round/>
          <a:headEnd/>
          <a:tailEnd/>
        </a:ln>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sheetPr codeName="Tabelle1">
    <pageSetUpPr fitToPage="1"/>
  </sheetPr>
  <dimension ref="A1:I115"/>
  <sheetViews>
    <sheetView showGridLines="0" tabSelected="1" zoomScale="160" zoomScaleNormal="160" workbookViewId="0">
      <pane ySplit="1" topLeftCell="A2" activePane="bottomLeft" state="frozen"/>
      <selection pane="bottomLeft" activeCell="E7" sqref="E7"/>
    </sheetView>
  </sheetViews>
  <sheetFormatPr baseColWidth="10" defaultRowHeight="13.2"/>
  <cols>
    <col min="1" max="1" width="28.109375" customWidth="1"/>
    <col min="2" max="2" width="7" customWidth="1"/>
    <col min="3" max="3" width="2.109375" customWidth="1"/>
    <col min="4" max="4" width="9" style="1" customWidth="1"/>
    <col min="5" max="5" width="20.44140625" customWidth="1"/>
    <col min="6" max="6" width="10.33203125" customWidth="1"/>
  </cols>
  <sheetData>
    <row r="1" spans="1:9" ht="16.5" customHeight="1">
      <c r="A1" s="5" t="s">
        <v>0</v>
      </c>
    </row>
    <row r="2" spans="1:9" ht="43.95" customHeight="1">
      <c r="A2" s="149" t="s">
        <v>66</v>
      </c>
      <c r="B2" s="149"/>
      <c r="C2" s="149"/>
      <c r="D2" s="149"/>
      <c r="E2" s="149"/>
      <c r="F2" s="149"/>
    </row>
    <row r="3" spans="1:9">
      <c r="A3" s="5" t="s">
        <v>1</v>
      </c>
      <c r="B3" s="5" t="s">
        <v>2</v>
      </c>
      <c r="D3" s="143" t="s">
        <v>177</v>
      </c>
    </row>
    <row r="4" spans="1:9">
      <c r="A4" t="s">
        <v>3</v>
      </c>
      <c r="B4" t="s">
        <v>4</v>
      </c>
      <c r="C4" t="s">
        <v>5</v>
      </c>
      <c r="D4" s="9">
        <v>182</v>
      </c>
      <c r="E4" t="s">
        <v>6</v>
      </c>
    </row>
    <row r="5" spans="1:9">
      <c r="A5" t="s">
        <v>7</v>
      </c>
      <c r="B5" t="s">
        <v>8</v>
      </c>
      <c r="C5" t="s">
        <v>5</v>
      </c>
      <c r="D5" s="13">
        <v>12</v>
      </c>
      <c r="E5" t="s">
        <v>9</v>
      </c>
    </row>
    <row r="6" spans="1:9">
      <c r="A6" t="s">
        <v>93</v>
      </c>
      <c r="B6" t="s">
        <v>80</v>
      </c>
      <c r="C6" t="s">
        <v>5</v>
      </c>
      <c r="D6" s="9">
        <v>9.1</v>
      </c>
      <c r="E6" t="s">
        <v>95</v>
      </c>
      <c r="F6" s="3">
        <v>44835</v>
      </c>
    </row>
    <row r="7" spans="1:9">
      <c r="B7" t="s">
        <v>81</v>
      </c>
      <c r="C7" t="s">
        <v>5</v>
      </c>
      <c r="D7" s="143">
        <f>ROUND(12/1.07,2)</f>
        <v>11.21</v>
      </c>
      <c r="E7" t="s">
        <v>83</v>
      </c>
      <c r="F7" s="28">
        <v>44927</v>
      </c>
    </row>
    <row r="8" spans="1:9">
      <c r="B8" t="s">
        <v>82</v>
      </c>
      <c r="C8" t="s">
        <v>5</v>
      </c>
      <c r="D8" s="9"/>
      <c r="E8" t="s">
        <v>83</v>
      </c>
      <c r="F8" s="28"/>
      <c r="I8" s="39"/>
    </row>
    <row r="9" spans="1:9">
      <c r="A9" t="s">
        <v>12</v>
      </c>
      <c r="B9" t="s">
        <v>13</v>
      </c>
      <c r="C9" t="s">
        <v>5</v>
      </c>
      <c r="D9" s="9">
        <f>117.12/12</f>
        <v>9.76</v>
      </c>
      <c r="E9" t="s">
        <v>14</v>
      </c>
    </row>
    <row r="10" spans="1:9">
      <c r="A10" t="s">
        <v>15</v>
      </c>
      <c r="B10" t="s">
        <v>16</v>
      </c>
      <c r="C10" t="s">
        <v>5</v>
      </c>
      <c r="D10" s="18">
        <v>11.0572</v>
      </c>
      <c r="E10" t="s">
        <v>17</v>
      </c>
    </row>
    <row r="11" spans="1:9">
      <c r="A11" t="s">
        <v>18</v>
      </c>
      <c r="B11" t="s">
        <v>18</v>
      </c>
      <c r="C11" t="s">
        <v>5</v>
      </c>
      <c r="D11" s="17">
        <v>7.0000000000000007E-2</v>
      </c>
    </row>
    <row r="12" spans="1:9">
      <c r="A12" t="s">
        <v>19</v>
      </c>
      <c r="B12" t="s">
        <v>20</v>
      </c>
      <c r="C12" t="s">
        <v>5</v>
      </c>
      <c r="D12" s="28">
        <v>44847</v>
      </c>
    </row>
    <row r="13" spans="1:9">
      <c r="A13" s="144" t="s">
        <v>154</v>
      </c>
      <c r="B13" t="s">
        <v>21</v>
      </c>
      <c r="C13" t="s">
        <v>5</v>
      </c>
      <c r="D13" s="11">
        <v>1587</v>
      </c>
      <c r="E13" t="s">
        <v>22</v>
      </c>
      <c r="F13" s="144"/>
    </row>
    <row r="14" spans="1:9">
      <c r="A14" t="s">
        <v>31</v>
      </c>
      <c r="B14" t="s">
        <v>32</v>
      </c>
      <c r="C14" t="s">
        <v>5</v>
      </c>
      <c r="D14" s="13">
        <v>21548</v>
      </c>
      <c r="E14" t="s">
        <v>33</v>
      </c>
    </row>
    <row r="15" spans="1:9">
      <c r="A15" t="s">
        <v>23</v>
      </c>
      <c r="B15" t="s">
        <v>24</v>
      </c>
      <c r="C15" t="s">
        <v>5</v>
      </c>
      <c r="D15" s="10">
        <v>0.2</v>
      </c>
    </row>
    <row r="16" spans="1:9">
      <c r="A16" t="s">
        <v>27</v>
      </c>
      <c r="B16" t="s">
        <v>28</v>
      </c>
      <c r="C16" t="s">
        <v>5</v>
      </c>
      <c r="D16" s="10">
        <v>0.01</v>
      </c>
      <c r="E16" s="138">
        <f>ROUND(+$D$14*D16,-2)</f>
        <v>200</v>
      </c>
      <c r="F16" t="s">
        <v>33</v>
      </c>
    </row>
    <row r="17" spans="1:6">
      <c r="A17" t="s">
        <v>29</v>
      </c>
      <c r="B17" t="s">
        <v>30</v>
      </c>
      <c r="C17" t="s">
        <v>5</v>
      </c>
      <c r="D17" s="12">
        <v>0</v>
      </c>
      <c r="E17" s="138">
        <f>ROUND(+$D$14*D17,-2)</f>
        <v>0</v>
      </c>
      <c r="F17" t="s">
        <v>33</v>
      </c>
    </row>
    <row r="18" spans="1:6">
      <c r="A18" t="s">
        <v>25</v>
      </c>
      <c r="B18" t="s">
        <v>26</v>
      </c>
      <c r="C18" t="s">
        <v>5</v>
      </c>
      <c r="D18">
        <v>100</v>
      </c>
      <c r="E18">
        <v>0</v>
      </c>
    </row>
    <row r="19" spans="1:6">
      <c r="D19" s="4"/>
    </row>
    <row r="20" spans="1:6">
      <c r="A20" s="5" t="s">
        <v>34</v>
      </c>
    </row>
    <row r="21" spans="1:6">
      <c r="A21" t="s">
        <v>90</v>
      </c>
      <c r="B21" s="14" t="s">
        <v>84</v>
      </c>
      <c r="C21" t="s">
        <v>5</v>
      </c>
      <c r="D21" s="1">
        <f>IF(D7="",365,F7-D12)</f>
        <v>80</v>
      </c>
      <c r="E21" t="s">
        <v>89</v>
      </c>
    </row>
    <row r="22" spans="1:6">
      <c r="A22" t="s">
        <v>91</v>
      </c>
      <c r="B22" s="14" t="s">
        <v>85</v>
      </c>
      <c r="C22" t="s">
        <v>5</v>
      </c>
      <c r="D22" s="1">
        <f>IF(D7="",0,IF(D8="",+D12+365-F7,F8-F7))</f>
        <v>285</v>
      </c>
      <c r="E22" t="s">
        <v>89</v>
      </c>
    </row>
    <row r="23" spans="1:6">
      <c r="A23" t="s">
        <v>92</v>
      </c>
      <c r="B23" s="14" t="s">
        <v>86</v>
      </c>
      <c r="C23" t="s">
        <v>5</v>
      </c>
      <c r="D23" s="1">
        <f>365-D21-D22</f>
        <v>0</v>
      </c>
      <c r="E23" t="s">
        <v>89</v>
      </c>
    </row>
    <row r="24" spans="1:6">
      <c r="A24" t="s">
        <v>88</v>
      </c>
      <c r="B24" s="14" t="s">
        <v>10</v>
      </c>
      <c r="C24" t="s">
        <v>5</v>
      </c>
      <c r="D24" s="40">
        <f>ROUND((D6*D21+D7*D22+D8*D23)/365,2)</f>
        <v>10.75</v>
      </c>
      <c r="E24" t="s">
        <v>11</v>
      </c>
    </row>
    <row r="25" spans="1:6">
      <c r="B25" s="14"/>
      <c r="C25" t="s">
        <v>5</v>
      </c>
      <c r="D25" s="2" t="s">
        <v>94</v>
      </c>
    </row>
    <row r="26" spans="1:6">
      <c r="B26" s="14"/>
      <c r="C26" t="s">
        <v>5</v>
      </c>
      <c r="D26" s="2" t="str">
        <f>"("&amp;$B$6&amp;"*"&amp;$B$21&amp;" + "&amp;$B$7&amp;"*"&amp;$B$22&amp;" + "&amp;$B$8&amp;"*"&amp;$B$23&amp;") /365"</f>
        <v>(gDn1*t1 + gDn2*t2 + gDn3*t3) /365</v>
      </c>
    </row>
    <row r="27" spans="1:6">
      <c r="B27" s="14"/>
      <c r="C27" t="s">
        <v>5</v>
      </c>
      <c r="D27" s="2" t="str">
        <f>"("&amp;$D$6&amp;"*"&amp;$D$21&amp;" + "&amp;$D$7&amp;"*"&amp;$D$22&amp;" + "&amp;$D$8&amp;"*"&amp;$D$23&amp;") /365"</f>
        <v>(9,1*80 + 11,21*285 + *0) /365</v>
      </c>
    </row>
    <row r="28" spans="1:6">
      <c r="B28" s="14"/>
      <c r="D28" s="2"/>
    </row>
    <row r="29" spans="1:6">
      <c r="A29" t="s">
        <v>87</v>
      </c>
      <c r="B29" s="14" t="s">
        <v>35</v>
      </c>
      <c r="C29" t="s">
        <v>5</v>
      </c>
      <c r="D29" s="18">
        <f>ROUND(D24*(1+$D$11),2)</f>
        <v>11.5</v>
      </c>
      <c r="E29" t="s">
        <v>11</v>
      </c>
    </row>
    <row r="30" spans="1:6">
      <c r="B30" s="14"/>
      <c r="C30" t="s">
        <v>5</v>
      </c>
      <c r="D30" s="2" t="str">
        <f>$A$6&amp;"*(1+"&amp;$A$11&amp;")"</f>
        <v>Aktueller Gaspreis1, netto*(1+MWSt)</v>
      </c>
    </row>
    <row r="31" spans="1:6">
      <c r="B31" s="14"/>
      <c r="C31" t="s">
        <v>5</v>
      </c>
      <c r="D31" s="2" t="str">
        <f>$B$6&amp;"*(1+"&amp;$B$11&amp;")"</f>
        <v>gDn1*(1+MWSt)</v>
      </c>
    </row>
    <row r="32" spans="1:6">
      <c r="B32" s="14"/>
      <c r="C32" t="s">
        <v>5</v>
      </c>
      <c r="D32" s="2" t="str">
        <f>$D$6&amp;" "&amp;$E6&amp;"*(1+"&amp;$D$11&amp;")"</f>
        <v>9,1 Cent/kWh          ab*(1+0,07)</v>
      </c>
    </row>
    <row r="33" spans="1:5">
      <c r="B33" s="14"/>
    </row>
    <row r="34" spans="1:5">
      <c r="A34" t="s">
        <v>36</v>
      </c>
      <c r="B34" s="14" t="s">
        <v>37</v>
      </c>
      <c r="C34" t="s">
        <v>5</v>
      </c>
      <c r="D34" s="18">
        <f>ROUND(+D9*(1+$D$11),2)</f>
        <v>10.44</v>
      </c>
      <c r="E34" t="s">
        <v>14</v>
      </c>
    </row>
    <row r="35" spans="1:5">
      <c r="B35" s="14"/>
      <c r="C35" t="s">
        <v>5</v>
      </c>
      <c r="D35" s="2" t="str">
        <f>$A$9&amp;"*(1+"&amp;$A$11&amp;")"</f>
        <v>Monatlicher Grundpreis,netto*(1+MWSt)</v>
      </c>
    </row>
    <row r="36" spans="1:5">
      <c r="B36" s="14"/>
      <c r="C36" t="s">
        <v>5</v>
      </c>
      <c r="D36" s="2" t="str">
        <f>$B$9&amp;"*(1+"&amp;$B$11&amp;")"</f>
        <v>GMGn*(1+MWSt)</v>
      </c>
    </row>
    <row r="37" spans="1:5">
      <c r="B37" s="14"/>
      <c r="C37" t="s">
        <v>5</v>
      </c>
      <c r="D37" s="2" t="str">
        <f>$D$9&amp;"*(1+"&amp;$D$11&amp;")"</f>
        <v>9,76*(1+0,07)</v>
      </c>
    </row>
    <row r="38" spans="1:5">
      <c r="B38" s="14"/>
    </row>
    <row r="39" spans="1:5">
      <c r="A39" t="s">
        <v>38</v>
      </c>
      <c r="B39" s="14" t="s">
        <v>39</v>
      </c>
      <c r="C39" t="s">
        <v>5</v>
      </c>
      <c r="D39" s="2">
        <f>ROUND(D5*D4,2)</f>
        <v>2184</v>
      </c>
      <c r="E39" t="s">
        <v>40</v>
      </c>
    </row>
    <row r="40" spans="1:5">
      <c r="B40" s="14"/>
      <c r="C40" t="s">
        <v>5</v>
      </c>
      <c r="D40" s="1" t="str">
        <f>A5&amp;" x "&amp;A4</f>
        <v>Zahl der Abschlagszahlungen x Neuer monatlicher Abschlag</v>
      </c>
    </row>
    <row r="41" spans="1:5">
      <c r="B41" s="14"/>
      <c r="C41" t="s">
        <v>5</v>
      </c>
      <c r="D41" s="1" t="str">
        <f>B5&amp;" x "&amp;B4</f>
        <v>nA x GMA</v>
      </c>
    </row>
    <row r="42" spans="1:5">
      <c r="B42" s="14"/>
      <c r="C42" t="s">
        <v>5</v>
      </c>
      <c r="D42" s="1" t="str">
        <f>D5&amp;" "&amp;$E$5&amp;" x "&amp;$D$4&amp;" "&amp;$E$4</f>
        <v>12 Zahlungen/Jahr x 182 Euro/Vor.zahlung</v>
      </c>
    </row>
    <row r="43" spans="1:5">
      <c r="B43" s="14"/>
    </row>
    <row r="44" spans="1:5">
      <c r="A44" t="s">
        <v>41</v>
      </c>
      <c r="B44" s="14" t="s">
        <v>42</v>
      </c>
      <c r="C44" t="s">
        <v>5</v>
      </c>
      <c r="D44" s="6">
        <f>ROUND(+(D39-D5*D34)*100/D29,0)</f>
        <v>17902</v>
      </c>
      <c r="E44" t="s">
        <v>43</v>
      </c>
    </row>
    <row r="45" spans="1:5">
      <c r="B45" s="14"/>
      <c r="C45" t="s">
        <v>5</v>
      </c>
      <c r="D45" s="6" t="str">
        <f>"("&amp;$A$39&amp;" - "&amp;A5&amp;" x "&amp;$A$34&amp;") x 100 / "&amp;$A$29</f>
        <v>(Jahresvorauszahlung - Zahl der Abschlagszahlungen x Monatlicher Grundpreis) x 100 / Mittlererer Energiepreis</v>
      </c>
    </row>
    <row r="46" spans="1:5">
      <c r="B46" s="14"/>
      <c r="C46" t="s">
        <v>5</v>
      </c>
      <c r="D46" s="6" t="str">
        <f>"("&amp;$B$39&amp;" - "&amp;B5&amp;" x "&amp;$B$34&amp;") x 100 / "&amp;$B$29</f>
        <v>(GJ - nA x GMG) x 100 / gD</v>
      </c>
    </row>
    <row r="47" spans="1:5">
      <c r="B47" s="14"/>
      <c r="C47" t="s">
        <v>5</v>
      </c>
      <c r="D47" s="6" t="str">
        <f>"("&amp;$D$39&amp;" - "&amp;D5&amp;" x "&amp;LEFT($D$34,5)&amp;") x 100 / "&amp;LEFT($D$29,4)</f>
        <v>(2184 - 12 x 10,44) x 100 / 11,5</v>
      </c>
    </row>
    <row r="48" spans="1:5">
      <c r="B48" s="14"/>
      <c r="D48" s="6"/>
    </row>
    <row r="49" spans="1:5">
      <c r="A49" t="s">
        <v>44</v>
      </c>
      <c r="B49" s="14" t="s">
        <v>49</v>
      </c>
      <c r="C49" t="s">
        <v>5</v>
      </c>
      <c r="D49" s="6">
        <f>ROUND(+D44/D10,0)</f>
        <v>1619</v>
      </c>
      <c r="E49" t="s">
        <v>45</v>
      </c>
    </row>
    <row r="50" spans="1:5">
      <c r="B50" s="14"/>
      <c r="C50" t="s">
        <v>5</v>
      </c>
      <c r="D50" s="6" t="str">
        <f>+$A$44&amp;"/"&amp;$A$10</f>
        <v>Bezahlte Energiemenge/Heizwert,Gas</v>
      </c>
    </row>
    <row r="51" spans="1:5">
      <c r="B51" s="14"/>
      <c r="C51" t="s">
        <v>5</v>
      </c>
      <c r="D51" s="6" t="str">
        <f>+$B$44&amp;"/"&amp;$B$10</f>
        <v>WJ/hG</v>
      </c>
    </row>
    <row r="52" spans="1:5">
      <c r="B52" s="14"/>
      <c r="C52" t="s">
        <v>5</v>
      </c>
      <c r="D52" s="6" t="str">
        <f>LEFT(+$D$44,4)&amp;E44&amp;" / "&amp;$D$10&amp;E10</f>
        <v>1790kWh/Jahr / 11,0572kWh/m³</v>
      </c>
    </row>
    <row r="53" spans="1:5">
      <c r="B53" s="14"/>
    </row>
    <row r="54" spans="1:5">
      <c r="A54" t="s">
        <v>68</v>
      </c>
      <c r="B54" s="14" t="s">
        <v>70</v>
      </c>
      <c r="C54" t="s">
        <v>5</v>
      </c>
      <c r="D54" s="2">
        <f>ROUND(+D39-(12*D34+D14*D29/D18),2)</f>
        <v>-419.3</v>
      </c>
      <c r="E54" t="s">
        <v>40</v>
      </c>
    </row>
    <row r="55" spans="1:5">
      <c r="B55" s="14"/>
      <c r="C55" t="s">
        <v>5</v>
      </c>
      <c r="D55" s="6" t="str">
        <f>+A39&amp;" - ("&amp;"12 x "&amp;A34&amp;" + "&amp;A14&amp;" x "&amp;A29&amp;")"</f>
        <v>Jahresvorauszahlung - (12 x Monatlicher Grundpreis + Energieverbrauch vom Vorjahr x Mittlererer Energiepreis)</v>
      </c>
    </row>
    <row r="56" spans="1:5">
      <c r="B56" s="14"/>
      <c r="C56" t="s">
        <v>5</v>
      </c>
      <c r="D56" s="29" t="str">
        <f>B39&amp;" - ("&amp;"12 x "&amp;B34&amp;" + "&amp;B14&amp;" x "&amp;B29&amp;")"</f>
        <v>GJ - (12 x GMG + Wvor x gD)</v>
      </c>
    </row>
    <row r="57" spans="1:5">
      <c r="B57" s="14"/>
      <c r="C57" t="s">
        <v>5</v>
      </c>
      <c r="D57" s="29" t="str">
        <f>D39&amp;" - ("&amp;"12 x "&amp;D34&amp;" + "&amp;D14&amp;" x "&amp;D29&amp;")"</f>
        <v>2184 - (12 x 10,44 + 21548 x 11,5)</v>
      </c>
    </row>
    <row r="58" spans="1:5">
      <c r="B58" s="14"/>
    </row>
    <row r="59" spans="1:5">
      <c r="A59" t="str">
        <f>+"Rückerstatt. bei "&amp;100*D15&amp;"%-Einsparziel"</f>
        <v>Rückerstatt. bei 20%-Einsparziel</v>
      </c>
      <c r="B59" s="14" t="s">
        <v>69</v>
      </c>
      <c r="C59" t="s">
        <v>5</v>
      </c>
      <c r="D59" s="2">
        <f>ROUND(+D39-(12*D34+D14*D29/D18*(1-D15)),2)</f>
        <v>76.3</v>
      </c>
      <c r="E59" t="s">
        <v>40</v>
      </c>
    </row>
    <row r="60" spans="1:5">
      <c r="B60" s="14"/>
      <c r="C60" t="s">
        <v>5</v>
      </c>
      <c r="D60" s="6" t="str">
        <f>+A39&amp;" - ("&amp;"12 x "&amp;A34&amp;" + "&amp;A14&amp;" x "&amp;A29&amp;" x [1-"&amp;D15&amp;"])"</f>
        <v>Jahresvorauszahlung - (12 x Monatlicher Grundpreis + Energieverbrauch vom Vorjahr x Mittlererer Energiepreis x [1-0,2])</v>
      </c>
    </row>
    <row r="61" spans="1:5">
      <c r="B61" s="14"/>
      <c r="C61" t="s">
        <v>5</v>
      </c>
      <c r="D61" s="29" t="str">
        <f>B39&amp;" - ("&amp;"12 x "&amp;B34&amp;" + "&amp;B14&amp;" x "&amp;B29&amp;" x [1-"&amp;B15&amp;"])"</f>
        <v>GJ - (12 x GMG + Wvor x gD x [1-p1])</v>
      </c>
    </row>
    <row r="62" spans="1:5">
      <c r="B62" s="14"/>
      <c r="C62" t="s">
        <v>5</v>
      </c>
      <c r="D62" s="29" t="str">
        <f>D39&amp;" - ("&amp;"12 x "&amp;D34&amp;" + "&amp;D14&amp;" x "&amp;D29&amp;" x [1-"&amp;D15&amp;"])"</f>
        <v>2184 - (12 x 10,44 + 21548 x 11,5 x [1-0,2])</v>
      </c>
    </row>
    <row r="63" spans="1:5">
      <c r="B63" s="14"/>
    </row>
    <row r="64" spans="1:5">
      <c r="A64" t="s">
        <v>47</v>
      </c>
      <c r="B64" s="14" t="s">
        <v>48</v>
      </c>
      <c r="C64" t="s">
        <v>5</v>
      </c>
      <c r="D64" s="6">
        <f>ROUND(+$D$49*($D$16+$D$17),0)</f>
        <v>16</v>
      </c>
      <c r="E64" t="s">
        <v>45</v>
      </c>
    </row>
    <row r="65" spans="1:6">
      <c r="B65" s="14"/>
      <c r="C65" t="s">
        <v>5</v>
      </c>
      <c r="D65" s="6" t="str">
        <f>$A$49&amp;"*("&amp;$A$16&amp;"+"&amp;$A$17&amp;")"</f>
        <v>Bezahlte Gasmenge*(Energieanteil für Warmwasser+Energieanteil für Kochen)</v>
      </c>
    </row>
    <row r="66" spans="1:6">
      <c r="C66" t="s">
        <v>5</v>
      </c>
      <c r="D66" s="6" t="str">
        <f>$B$49&amp;"*("&amp;$B$16&amp;"+"&amp;$B$17&amp;")"</f>
        <v>VJ*(pWw+pKoch)</v>
      </c>
    </row>
    <row r="67" spans="1:6">
      <c r="C67" t="s">
        <v>5</v>
      </c>
      <c r="D67" s="6" t="str">
        <f>$D$49&amp;"*("&amp;$D$16&amp;"+"&amp;$D$17&amp;")"</f>
        <v>1619*(0,01+0)</v>
      </c>
    </row>
    <row r="69" spans="1:6">
      <c r="A69" t="s">
        <v>50</v>
      </c>
      <c r="B69" s="14" t="s">
        <v>51</v>
      </c>
      <c r="C69" t="s">
        <v>5</v>
      </c>
      <c r="D69" s="6">
        <f>ROUND(+$D$49-$D$64,0)</f>
        <v>1603</v>
      </c>
      <c r="E69" t="s">
        <v>45</v>
      </c>
    </row>
    <row r="70" spans="1:6">
      <c r="C70" t="s">
        <v>5</v>
      </c>
      <c r="D70" s="6" t="str">
        <f>+$A$49&amp;"-"&amp;$A$64</f>
        <v>Bezahlte Gasmenge-Verbrauch für Warmwasser und Kochen</v>
      </c>
    </row>
    <row r="71" spans="1:6">
      <c r="C71" t="s">
        <v>5</v>
      </c>
      <c r="D71" s="6" t="str">
        <f>+$B$49&amp;"-"&amp;$B$64</f>
        <v>VJ-Wwk</v>
      </c>
    </row>
    <row r="72" spans="1:6">
      <c r="C72" t="s">
        <v>5</v>
      </c>
      <c r="D72" s="6" t="str">
        <f>+$D$49&amp;"-"&amp;$D$64</f>
        <v>1619-16</v>
      </c>
    </row>
    <row r="75" spans="1:6">
      <c r="A75" s="16" t="s">
        <v>52</v>
      </c>
    </row>
    <row r="77" spans="1:6">
      <c r="A77" s="144" t="s">
        <v>156</v>
      </c>
    </row>
    <row r="78" spans="1:6">
      <c r="A78" s="144" t="s">
        <v>159</v>
      </c>
      <c r="B78" s="144" t="s">
        <v>82</v>
      </c>
      <c r="C78" t="s">
        <v>5</v>
      </c>
      <c r="D78" s="9">
        <f>ROUND(22.79/1.07,2)</f>
        <v>21.3</v>
      </c>
      <c r="E78" s="144" t="s">
        <v>157</v>
      </c>
      <c r="F78" s="138">
        <f>ROUND(+'Berechnung der Vergleichskurven'!G57,0)</f>
        <v>3126</v>
      </c>
    </row>
    <row r="79" spans="1:6">
      <c r="D79" s="2"/>
    </row>
    <row r="80" spans="1:6">
      <c r="A80" s="144" t="s">
        <v>158</v>
      </c>
      <c r="B80" s="144" t="s">
        <v>167</v>
      </c>
      <c r="C80" t="s">
        <v>5</v>
      </c>
      <c r="D80" s="2">
        <f>ROUND(+D78*(1+D11),2)</f>
        <v>22.79</v>
      </c>
      <c r="E80" s="144" t="s">
        <v>160</v>
      </c>
      <c r="F80" s="138"/>
    </row>
    <row r="81" spans="1:9">
      <c r="C81" t="s">
        <v>5</v>
      </c>
      <c r="D81" s="2" t="str">
        <f>B78&amp;" x (1+"&amp;B11&amp;")"</f>
        <v>gDn3 x (1+MWSt)</v>
      </c>
    </row>
    <row r="82" spans="1:9">
      <c r="C82" t="s">
        <v>5</v>
      </c>
      <c r="D82" s="2" t="str">
        <f>D78&amp;" x (1+"&amp;D11&amp;")"</f>
        <v>21,3 x (1+0,07)</v>
      </c>
    </row>
    <row r="83" spans="1:9">
      <c r="F83" s="144"/>
      <c r="G83" s="144"/>
      <c r="H83" s="144"/>
      <c r="I83" s="144"/>
    </row>
    <row r="84" spans="1:9">
      <c r="A84" s="144" t="s">
        <v>172</v>
      </c>
      <c r="B84" s="144" t="s">
        <v>164</v>
      </c>
      <c r="C84" s="144" t="s">
        <v>5</v>
      </c>
      <c r="D84" s="138">
        <f>ROUND(+D14*D21/365,0)</f>
        <v>4723</v>
      </c>
      <c r="E84" s="144" t="s">
        <v>33</v>
      </c>
      <c r="G84" s="155"/>
    </row>
    <row r="85" spans="1:9">
      <c r="C85" s="144" t="s">
        <v>5</v>
      </c>
      <c r="D85" s="154" t="str">
        <f>B14&amp;" x "&amp;B21&amp;" / 365 "</f>
        <v xml:space="preserve">Wvor x t1 / 365 </v>
      </c>
    </row>
    <row r="86" spans="1:9">
      <c r="C86" s="144" t="s">
        <v>5</v>
      </c>
      <c r="D86" s="1" t="str">
        <f>D14&amp;" x "&amp;D21&amp;" / 365 "</f>
        <v xml:space="preserve">21548 x 80 / 365 </v>
      </c>
    </row>
    <row r="88" spans="1:9">
      <c r="A88" s="144" t="s">
        <v>169</v>
      </c>
      <c r="B88" s="144" t="s">
        <v>163</v>
      </c>
      <c r="C88" s="144" t="s">
        <v>5</v>
      </c>
      <c r="D88" s="138">
        <f>ROUND(D84*D6/100*(1+D11),2)</f>
        <v>459.88</v>
      </c>
      <c r="E88" s="144" t="s">
        <v>168</v>
      </c>
      <c r="F88" s="2"/>
      <c r="G88" s="155"/>
    </row>
    <row r="89" spans="1:9">
      <c r="C89" s="144" t="s">
        <v>5</v>
      </c>
      <c r="D89" s="154" t="str">
        <f>B84&amp;" x "&amp;B6&amp;"/100 x (1+"&amp;B11&amp;")"</f>
        <v>W1 x gDn1/100 x (1+MWSt)</v>
      </c>
    </row>
    <row r="90" spans="1:9">
      <c r="C90" s="144" t="s">
        <v>5</v>
      </c>
      <c r="D90" s="1" t="str">
        <f>D84&amp;" x "&amp;D6&amp;"/100 x (1+"&amp;D11&amp;")"</f>
        <v>4723 x 9,1/100 x (1+0,07)</v>
      </c>
    </row>
    <row r="92" spans="1:9">
      <c r="A92" s="144" t="s">
        <v>173</v>
      </c>
      <c r="B92" s="144" t="s">
        <v>166</v>
      </c>
      <c r="C92" s="144" t="s">
        <v>5</v>
      </c>
      <c r="D92" s="156">
        <f>+ROUND(+D14*0.2,0)</f>
        <v>4310</v>
      </c>
      <c r="E92" s="144" t="s">
        <v>33</v>
      </c>
      <c r="G92" s="155"/>
    </row>
    <row r="93" spans="1:9">
      <c r="C93" s="144" t="s">
        <v>5</v>
      </c>
      <c r="D93" s="154" t="str">
        <f>B14&amp;" x 0,2"</f>
        <v>Wvor x 0,2</v>
      </c>
    </row>
    <row r="94" spans="1:9">
      <c r="C94" s="144" t="s">
        <v>5</v>
      </c>
      <c r="D94" s="1" t="str">
        <f>D14&amp;" x 0,2 "</f>
        <v xml:space="preserve">21548 x 0,2 </v>
      </c>
    </row>
    <row r="96" spans="1:9">
      <c r="A96" s="144" t="s">
        <v>170</v>
      </c>
      <c r="B96" s="144" t="s">
        <v>174</v>
      </c>
      <c r="C96" s="144" t="s">
        <v>5</v>
      </c>
      <c r="D96" s="138">
        <f>ROUND(+D14*0.2*D78/100*(1+D11),2)</f>
        <v>982.2</v>
      </c>
      <c r="E96" s="144" t="s">
        <v>168</v>
      </c>
      <c r="F96" s="2"/>
      <c r="G96" s="3"/>
      <c r="I96" s="3"/>
    </row>
    <row r="97" spans="1:7">
      <c r="D97" s="1" t="str">
        <f>B92&amp;" x "&amp;B78&amp;"/100 x (1+"&amp;D11&amp;")"</f>
        <v>W3 x gDn3/100 x (1+0,07)</v>
      </c>
    </row>
    <row r="98" spans="1:7">
      <c r="D98" s="1" t="str">
        <f>D92&amp;" x  "&amp;D78&amp;"/100 x (1+"&amp;D11&amp;")"</f>
        <v>4310 x  21,3/100 x (1+0,07)</v>
      </c>
    </row>
    <row r="100" spans="1:7">
      <c r="A100" s="144" t="s">
        <v>175</v>
      </c>
      <c r="B100" s="144" t="s">
        <v>165</v>
      </c>
      <c r="C100" s="144" t="s">
        <v>5</v>
      </c>
      <c r="D100" s="156">
        <f>+D14-D84-D92</f>
        <v>12515</v>
      </c>
      <c r="E100" s="144" t="s">
        <v>33</v>
      </c>
    </row>
    <row r="101" spans="1:7">
      <c r="C101" s="144" t="s">
        <v>5</v>
      </c>
      <c r="D101" s="154" t="str">
        <f>B14&amp;" -"&amp;B84&amp;" - "&amp;B92</f>
        <v>Wvor -W1 - W3</v>
      </c>
    </row>
    <row r="102" spans="1:7">
      <c r="C102" s="144" t="s">
        <v>5</v>
      </c>
      <c r="D102" s="1" t="str">
        <f>D14&amp;" -"&amp;D84&amp;" - "&amp;D92</f>
        <v>21548 -4723 - 4310</v>
      </c>
    </row>
    <row r="104" spans="1:7">
      <c r="A104" s="144" t="s">
        <v>171</v>
      </c>
      <c r="B104" s="144" t="s">
        <v>176</v>
      </c>
      <c r="C104" s="144" t="s">
        <v>5</v>
      </c>
      <c r="D104" s="156">
        <f>+ROUND(+D100*D7/100*(1+D11),2)</f>
        <v>1501.14</v>
      </c>
      <c r="E104" s="144" t="s">
        <v>168</v>
      </c>
      <c r="F104" s="2"/>
      <c r="G104" t="str">
        <f>+"Staat zahlt €"&amp;ROUND(D100*(D78-D7)/100*1.07,-2)</f>
        <v>Staat zahlt €1400</v>
      </c>
    </row>
    <row r="105" spans="1:7">
      <c r="C105" s="144" t="s">
        <v>5</v>
      </c>
      <c r="D105" s="154" t="str">
        <f>B100 &amp;" x "&amp;B7&amp;"/100 x (1+"&amp;B11&amp;")"</f>
        <v>W2 x gDn2/100 x (1+MWSt)</v>
      </c>
    </row>
    <row r="106" spans="1:7">
      <c r="C106" s="144" t="s">
        <v>5</v>
      </c>
      <c r="D106" s="1" t="str">
        <f>D100 &amp;" x "&amp;D7&amp;"/100 x (1+"&amp;D11&amp;")"</f>
        <v>12515 x 11,21/100 x (1+0,07)</v>
      </c>
    </row>
    <row r="108" spans="1:7">
      <c r="A108" s="144" t="s">
        <v>161</v>
      </c>
      <c r="B108" s="139" t="s">
        <v>162</v>
      </c>
      <c r="C108" t="s">
        <v>5</v>
      </c>
      <c r="D108" s="156">
        <f>+D39-12*D34-D88-D96-D104</f>
        <v>-884.50000000000045</v>
      </c>
      <c r="E108" t="s">
        <v>40</v>
      </c>
    </row>
    <row r="109" spans="1:7">
      <c r="C109" t="s">
        <v>5</v>
      </c>
      <c r="D109" s="2" t="str">
        <f>B39&amp;" - ("&amp;"12 x "&amp;B34&amp;" - "&amp;B88&amp;" - "&amp;B96&amp;" - "&amp;B104&amp;")"</f>
        <v>GJ - (12 x GMG - K1 - K3 - K2)</v>
      </c>
    </row>
    <row r="110" spans="1:7">
      <c r="C110" t="s">
        <v>5</v>
      </c>
      <c r="D110" s="2" t="str">
        <f>D39&amp;" - ("&amp;"12 x "&amp;D34&amp;" - "&amp;D88&amp;" - "&amp;D96&amp;" - "&amp;D104&amp;")"</f>
        <v>2184 - (12 x 10,44 - 459,88 - 982,2 - 1501,14)</v>
      </c>
    </row>
    <row r="112" spans="1:7">
      <c r="A112" s="144"/>
      <c r="B112" s="139"/>
      <c r="D112" s="2"/>
    </row>
    <row r="113" spans="2:4">
      <c r="B113" s="14"/>
      <c r="D113" s="29"/>
    </row>
    <row r="114" spans="2:4">
      <c r="B114" s="14"/>
      <c r="D114" s="29"/>
    </row>
    <row r="115" spans="2:4">
      <c r="B115" s="14"/>
      <c r="D115" s="29"/>
    </row>
  </sheetData>
  <mergeCells count="1">
    <mergeCell ref="A2:F2"/>
  </mergeCells>
  <pageMargins left="0.78740157499999996" right="0.78740157499999996" top="0.984251969" bottom="0.984251969" header="0.51181102300000003" footer="0.51181102300000003"/>
  <pageSetup paperSize="9" scale="72" orientation="portrait" horizontalDpi="300" verticalDpi="300" r:id="rId1"/>
  <headerFooter alignWithMargins="0">
    <oddHeader>&amp;A</oddHeader>
    <oddFooter>Seite &amp;P</oddFooter>
  </headerFooter>
  <legacyDrawing r:id="rId2"/>
</worksheet>
</file>

<file path=xl/worksheets/sheet2.xml><?xml version="1.0" encoding="utf-8"?>
<worksheet xmlns="http://schemas.openxmlformats.org/spreadsheetml/2006/main" xmlns:r="http://schemas.openxmlformats.org/officeDocument/2006/relationships">
  <sheetPr codeName="Tabelle2"/>
  <dimension ref="A1:I20"/>
  <sheetViews>
    <sheetView showGridLines="0" zoomScale="115" zoomScaleNormal="115" workbookViewId="0">
      <selection activeCell="F9" sqref="F9"/>
    </sheetView>
  </sheetViews>
  <sheetFormatPr baseColWidth="10" defaultRowHeight="13.2"/>
  <cols>
    <col min="1" max="1" width="14.33203125" customWidth="1"/>
    <col min="2" max="2" width="110.6640625" customWidth="1"/>
    <col min="3" max="3" width="3.77734375" customWidth="1"/>
  </cols>
  <sheetData>
    <row r="1" spans="1:9" ht="12" customHeight="1">
      <c r="B1" s="148" t="str">
        <f>"Prognose: Liegt Ihr Verbrauch auf der Vorjahreslinie ("&amp;ROUND(Eingabedaten!D14,-2)&amp;" kWh), können Sie eine "&amp;G4&amp;" von "&amp;ABS(H4)&amp;" Euro erwarten ("&amp;ROUND(-H4-H5,0)&amp;"€ ab Stand "&amp;Eingabedaten!F78&amp;")"</f>
        <v>Prognose: Liegt Ihr Verbrauch auf der Vorjahreslinie (21500 kWh), können Sie eine Nachzahlung von 885 Euro erwarten (809€ ab Stand 3126)</v>
      </c>
    </row>
    <row r="2" spans="1:9" ht="12" customHeight="1">
      <c r="B2" s="21" t="str">
        <f>"Erreichen Sie die "&amp;Eingabedaten!D15*100&amp;"%-Einsparlinie, können Sie eine "&amp;G5&amp;" von "&amp;ABS(H5)&amp;" Euro erwarten"</f>
        <v>Erreichen Sie die 20%-Einsparlinie, können Sie eine Rückerstattung von 76 Euro erwarten</v>
      </c>
    </row>
    <row r="3" spans="1:9" ht="10.5" customHeight="1">
      <c r="B3" s="22" t="str">
        <f>"(bei Vorauszahlung: "&amp;+Eingabedaten!D5&amp;" x "&amp;Eingabedaten!D4&amp;" Euro,"&amp;" mittl.Gaspreis: "&amp;Eingabedaten!D29&amp;" Cent/kWh, Grundgeb.: "&amp;Eingabedaten!D34&amp;" "&amp;Eingabedaten!E34&amp;", Ant. Warmwasser "&amp;Eingabedaten!E16&amp;" kWh"&amp;IF(Eingabedaten!E17=0," )"," und Kochen "&amp;ROUND((Eingabedaten!E17),-2)&amp;" kWh)")</f>
        <v>(bei Vorauszahlung: 12 x 182 Euro, mittl.Gaspreis: 11,5 Cent/kWh, Grundgeb.: 10,44 Euro/Monat, Ant. Warmwasser 200 kWh )</v>
      </c>
    </row>
    <row r="4" spans="1:9" ht="23.25" customHeight="1">
      <c r="A4" s="4"/>
      <c r="B4" s="135" t="str">
        <f>"             "&amp;+Eingabedaten!D3&amp;" "&amp;YEAR(Eingabedaten!D12)&amp;"/"&amp;YEAR(Eingabedaten!D12+364)-2000</f>
        <v xml:space="preserve">             Otto N. 2022/23</v>
      </c>
      <c r="F4" t="s">
        <v>54</v>
      </c>
      <c r="G4" t="str">
        <f>IF(H4&lt;0,"Nachzahlung","Rückerstattung")</f>
        <v>Nachzahlung</v>
      </c>
      <c r="H4" s="1">
        <f>ROUND(Eingabedaten!D108,0)</f>
        <v>-885</v>
      </c>
      <c r="I4" t="s">
        <v>71</v>
      </c>
    </row>
    <row r="5" spans="1:9" ht="23.25" customHeight="1">
      <c r="B5" s="136" t="s">
        <v>155</v>
      </c>
      <c r="F5" t="s">
        <v>53</v>
      </c>
      <c r="G5" t="str">
        <f>IF(H5&lt;0,"Nachzahlung","Rückerstattung")</f>
        <v>Rückerstattung</v>
      </c>
      <c r="H5" s="1">
        <f>ROUND(+Eingabedaten!D59,0)</f>
        <v>76</v>
      </c>
      <c r="I5" t="s">
        <v>71</v>
      </c>
    </row>
    <row r="6" spans="1:9" ht="23.25" customHeight="1">
      <c r="A6" s="150" t="str">
        <f>"1) Zum manuellen Skalieren hier unter dem Wort Zählerstand mit Mauszeiger auf eine Zahl gehen und rechten Mausklick.                  2) Im Menue Achse formatieren anwählen.              3) Bei Minimum Fest wählen und "&amp;ROUND(+Eingabedaten!$D$13-50,-2)&amp;" eintragen. Ggf Max, Hilfs- Hauptintervall ändern und schließen.             4) Die rechte Achse genauso skalieren.   5) Außerhalb des Diagramms hinklicken und das Blatt drucken."</f>
        <v>1) Zum manuellen Skalieren hier unter dem Wort Zählerstand mit Mauszeiger auf eine Zahl gehen und rechten Mausklick.                  2) Im Menue Achse formatieren anwählen.              3) Bei Minimum Fest wählen und 1500 eintragen. Ggf Max, Hilfs- Hauptintervall ändern und schließen.             4) Die rechte Achse genauso skalieren.   5) Außerhalb des Diagramms hinklicken und das Blatt drucken.</v>
      </c>
    </row>
    <row r="7" spans="1:9" ht="23.25" customHeight="1">
      <c r="A7" s="150"/>
    </row>
    <row r="8" spans="1:9" ht="23.25" customHeight="1">
      <c r="A8" s="150"/>
    </row>
    <row r="9" spans="1:9" ht="23.25" customHeight="1">
      <c r="A9" s="150"/>
    </row>
    <row r="10" spans="1:9" ht="19.2" customHeight="1">
      <c r="A10" s="150"/>
      <c r="B10" s="139"/>
    </row>
    <row r="11" spans="1:9" ht="19.2" customHeight="1">
      <c r="A11" s="150"/>
      <c r="B11" s="139"/>
    </row>
    <row r="12" spans="1:9" ht="19.2" customHeight="1">
      <c r="A12" s="150"/>
      <c r="B12" s="140"/>
    </row>
    <row r="13" spans="1:9" ht="19.2" customHeight="1">
      <c r="A13" s="150"/>
      <c r="B13" s="140"/>
    </row>
    <row r="14" spans="1:9" ht="19.2" customHeight="1">
      <c r="A14" s="150"/>
      <c r="B14" s="140"/>
    </row>
    <row r="15" spans="1:9" ht="19.2" customHeight="1">
      <c r="A15" s="150"/>
      <c r="B15" s="140"/>
    </row>
    <row r="16" spans="1:9" ht="23.25" customHeight="1">
      <c r="A16" s="150"/>
      <c r="B16" s="21"/>
    </row>
    <row r="17" spans="1:2" ht="23.25" customHeight="1">
      <c r="A17" s="150"/>
      <c r="B17" s="21"/>
    </row>
    <row r="18" spans="1:2" ht="23.25" customHeight="1">
      <c r="A18" s="150"/>
      <c r="B18" s="137"/>
    </row>
    <row r="19" spans="1:2" ht="23.25" customHeight="1">
      <c r="A19" s="151"/>
    </row>
    <row r="20" spans="1:2" ht="21.75" customHeight="1">
      <c r="A20" s="20"/>
    </row>
  </sheetData>
  <mergeCells count="1">
    <mergeCell ref="A6:A19"/>
  </mergeCells>
  <printOptions horizontalCentered="1" verticalCentered="1"/>
  <pageMargins left="0" right="0" top="0" bottom="0" header="0" footer="0"/>
  <pageSetup paperSize="9" scale="130" orientation="landscape" horizontalDpi="360" verticalDpi="360" r:id="rId1"/>
  <headerFooter alignWithMargins="0">
    <oddFooter>&amp;L&amp;"Arial Narrow,Standard"&amp;6In beliebigen Zeitabständen Zählerstand ablesen. Auf waagerechter Skala bis zum richtigen Datum, dann senkrecht hoch, bis zum entsprechenden Zählerstand. Dort Kreuzchen machen. &amp;R&amp;"Arial Narrow,Standard"&amp;6www.energienetz.de</oddFooter>
  </headerFooter>
  <drawing r:id="rId2"/>
  <legacyDrawing r:id="rId3"/>
</worksheet>
</file>

<file path=xl/worksheets/sheet3.xml><?xml version="1.0" encoding="utf-8"?>
<worksheet xmlns="http://schemas.openxmlformats.org/spreadsheetml/2006/main" xmlns:r="http://schemas.openxmlformats.org/officeDocument/2006/relationships">
  <sheetPr codeName="Tabelle4">
    <pageSetUpPr fitToPage="1"/>
  </sheetPr>
  <dimension ref="A2:AJ59"/>
  <sheetViews>
    <sheetView topLeftCell="A4" workbookViewId="0">
      <selection activeCell="B11" sqref="B11"/>
    </sheetView>
  </sheetViews>
  <sheetFormatPr baseColWidth="10" defaultRowHeight="13.2"/>
  <cols>
    <col min="1" max="2" width="10" customWidth="1"/>
    <col min="3" max="3" width="19.109375" customWidth="1"/>
    <col min="4" max="4" width="7.88671875" customWidth="1"/>
    <col min="5" max="5" width="7.33203125" customWidth="1"/>
    <col min="6" max="6" width="8.6640625" customWidth="1"/>
    <col min="7" max="7" width="7.88671875" customWidth="1"/>
    <col min="9" max="9" width="10" bestFit="1" customWidth="1"/>
    <col min="10" max="10" width="7.88671875" bestFit="1" customWidth="1"/>
    <col min="11" max="11" width="5.88671875" bestFit="1" customWidth="1"/>
    <col min="12" max="12" width="3.6640625" customWidth="1"/>
    <col min="14" max="14" width="7.109375" style="30" customWidth="1"/>
    <col min="15" max="15" width="8.44140625" style="30" customWidth="1"/>
    <col min="17" max="29" width="5" customWidth="1"/>
  </cols>
  <sheetData>
    <row r="2" spans="1:31">
      <c r="N2" s="30" t="s">
        <v>67</v>
      </c>
      <c r="O2" s="31"/>
      <c r="V2" s="14" t="s">
        <v>75</v>
      </c>
      <c r="W2">
        <v>15</v>
      </c>
      <c r="X2" t="s">
        <v>73</v>
      </c>
    </row>
    <row r="3" spans="1:31" ht="15.75" customHeight="1">
      <c r="B3" s="145" t="str">
        <f>"Ablesewerte Vorjahr "&amp;YEAR(A5)-1&amp;"/"&amp;YEAR(A5)</f>
        <v>Ablesewerte Vorjahr 2021/2022</v>
      </c>
      <c r="D3" t="s">
        <v>46</v>
      </c>
      <c r="E3" t="s">
        <v>56</v>
      </c>
      <c r="F3" t="s">
        <v>57</v>
      </c>
      <c r="G3" t="s">
        <v>58</v>
      </c>
      <c r="O3" s="32" t="s">
        <v>62</v>
      </c>
      <c r="R3" t="s">
        <v>74</v>
      </c>
    </row>
    <row r="4" spans="1:31" s="15" customFormat="1" ht="74.25" customHeight="1">
      <c r="A4" s="15" t="s">
        <v>61</v>
      </c>
      <c r="B4" s="34">
        <v>1</v>
      </c>
      <c r="D4" s="19" t="s">
        <v>60</v>
      </c>
      <c r="E4" s="24" t="str">
        <f>Eingabedaten!D15*100&amp;"% Mehrverbr. zu "&amp;YEAR(A5)-1&amp;"/"&amp;YEAR(A5)</f>
        <v>20% Mehrverbr. zu 2021/2022</v>
      </c>
      <c r="F4" s="23" t="str">
        <f>+"Verbrauchslinie wie "&amp;YEAR(A5)-1&amp;"/"&amp;YEAR(A5)</f>
        <v>Verbrauchslinie wie 2021/2022</v>
      </c>
      <c r="G4" s="24" t="str">
        <f>Eingabedaten!D15*100&amp;"% Einsparung zu "&amp;YEAR(A5)-1&amp;"/"&amp;YEAR(A5)</f>
        <v>20% Einsparung zu 2021/2022</v>
      </c>
      <c r="H4" s="15" t="s">
        <v>72</v>
      </c>
      <c r="I4" s="15" t="s">
        <v>64</v>
      </c>
      <c r="K4" s="1" t="s">
        <v>63</v>
      </c>
      <c r="M4" s="15" t="s">
        <v>65</v>
      </c>
      <c r="N4" s="30" t="s">
        <v>55</v>
      </c>
      <c r="O4" s="33" t="s">
        <v>59</v>
      </c>
      <c r="R4" s="36">
        <v>38001</v>
      </c>
      <c r="S4" s="36">
        <v>38032</v>
      </c>
      <c r="T4" s="36">
        <v>38061</v>
      </c>
      <c r="U4" s="36">
        <v>38092</v>
      </c>
      <c r="V4" s="36">
        <v>38122</v>
      </c>
      <c r="W4" s="36">
        <v>38153</v>
      </c>
      <c r="X4" s="36">
        <v>38183</v>
      </c>
      <c r="Y4" s="36">
        <v>38214</v>
      </c>
      <c r="Z4" s="36">
        <v>38245</v>
      </c>
      <c r="AA4" s="36">
        <v>38275</v>
      </c>
      <c r="AB4" s="36">
        <v>38306</v>
      </c>
      <c r="AC4" s="36">
        <v>38336</v>
      </c>
    </row>
    <row r="5" spans="1:31">
      <c r="A5" s="3">
        <f>Eingabedaten!D12</f>
        <v>44847</v>
      </c>
      <c r="B5" s="34"/>
      <c r="D5" s="7">
        <v>0</v>
      </c>
      <c r="E5" s="1">
        <f>+Eingabedaten!$D$13+(1+Eingabedaten!$D$15)*Eingabedaten!$D$14/Eingabedaten!$D$10*D5</f>
        <v>1587</v>
      </c>
      <c r="F5" s="1">
        <f>+Eingabedaten!$D$13+Eingabedaten!$D$14/Eingabedaten!$D$10*D5</f>
        <v>1587</v>
      </c>
      <c r="G5" s="1">
        <f>+Eingabedaten!$D$13+(1-Eingabedaten!$D$15)*Eingabedaten!$D$14/Eingabedaten!$D$10*D5</f>
        <v>1587</v>
      </c>
      <c r="H5" s="146">
        <f>(+$B$58-$B$5+B5)</f>
        <v>1587</v>
      </c>
      <c r="I5" s="25">
        <f t="shared" ref="I5:I36" si="0">+A5/365.2598</f>
        <v>122.781099918469</v>
      </c>
      <c r="J5" s="25">
        <f>I5-ROUND(I5-0.5,0)</f>
        <v>0.78109991846899618</v>
      </c>
      <c r="K5" s="1">
        <f>ROUND(+J5*52,0)+1</f>
        <v>42</v>
      </c>
      <c r="L5" s="1"/>
      <c r="M5" s="8">
        <v>0</v>
      </c>
      <c r="N5" s="30">
        <v>0</v>
      </c>
      <c r="O5" s="31">
        <v>0</v>
      </c>
      <c r="P5" s="31">
        <v>0</v>
      </c>
      <c r="Q5" t="s">
        <v>79</v>
      </c>
      <c r="R5">
        <v>3.6</v>
      </c>
      <c r="S5">
        <v>4.4000000000000004</v>
      </c>
      <c r="T5">
        <v>5.6</v>
      </c>
      <c r="U5">
        <v>11.4</v>
      </c>
      <c r="V5">
        <v>13.3</v>
      </c>
      <c r="W5">
        <v>17.600000000000001</v>
      </c>
      <c r="X5">
        <v>18.8</v>
      </c>
      <c r="Y5">
        <v>19.8</v>
      </c>
      <c r="Z5">
        <v>15.6</v>
      </c>
      <c r="AA5">
        <v>10.7</v>
      </c>
      <c r="AB5">
        <v>5.7</v>
      </c>
      <c r="AC5">
        <v>1.3</v>
      </c>
    </row>
    <row r="6" spans="1:31">
      <c r="A6" s="3">
        <f>+A5+7</f>
        <v>44854</v>
      </c>
      <c r="B6" s="141"/>
      <c r="C6" s="41"/>
      <c r="D6" s="7">
        <f>+D5+VLOOKUP(K5,$N$5:$P$57,3)*(1-Eingabedaten!$D$16-Eingabedaten!$D$17)+((A6-A5)/365)*(Eingabedaten!$D$16+Eingabedaten!$D$17)</f>
        <v>1.7805910636809377E-2</v>
      </c>
      <c r="E6" s="1">
        <f>+Eingabedaten!$D$13+(1+Eingabedaten!$D$15)*Eingabedaten!$D$14/Eingabedaten!$D$10*D6</f>
        <v>1628.6396659988391</v>
      </c>
      <c r="F6" s="1">
        <f>+Eingabedaten!$D$13+Eingabedaten!$D$14/Eingabedaten!$D$10*D6</f>
        <v>1621.6997216656991</v>
      </c>
      <c r="G6" s="1">
        <f>+Eingabedaten!$D$13+(1-Eingabedaten!$D$15)*Eingabedaten!$D$14/Eingabedaten!$D$10*D6</f>
        <v>1614.7597773325592</v>
      </c>
      <c r="H6" s="1" t="str">
        <f t="shared" ref="H6:H10" si="1">IF(B6="","",$B$57-$B$5+B6)</f>
        <v/>
      </c>
      <c r="I6" s="25">
        <f t="shared" si="0"/>
        <v>122.80026435977899</v>
      </c>
      <c r="J6" s="25">
        <f t="shared" ref="J6:J57" si="2">I6-ROUND(I6-0.5,0)</f>
        <v>0.80026435977899268</v>
      </c>
      <c r="K6" s="1">
        <f t="shared" ref="K6:K57" si="3">ROUND(+J6*52,0)+1</f>
        <v>43</v>
      </c>
      <c r="L6" s="1"/>
      <c r="M6" s="8">
        <v>4.2489052162911593E-2</v>
      </c>
      <c r="N6" s="30">
        <v>1</v>
      </c>
      <c r="O6" s="31">
        <f>+$R$7/4</f>
        <v>4.4531250000000001E-2</v>
      </c>
      <c r="P6" s="31">
        <v>0.05</v>
      </c>
      <c r="Q6" t="s">
        <v>76</v>
      </c>
      <c r="R6">
        <f>IF(R5&lt;$W$2,+$W$2-R5,0)</f>
        <v>11.4</v>
      </c>
      <c r="S6">
        <f t="shared" ref="S6:AC6" si="4">IF(S5&lt;$W$2,+$W$2-S5,0)</f>
        <v>10.6</v>
      </c>
      <c r="T6">
        <f t="shared" si="4"/>
        <v>9.4</v>
      </c>
      <c r="U6">
        <f t="shared" si="4"/>
        <v>3.5999999999999996</v>
      </c>
      <c r="V6">
        <f t="shared" si="4"/>
        <v>1.6999999999999993</v>
      </c>
      <c r="W6">
        <f t="shared" si="4"/>
        <v>0</v>
      </c>
      <c r="X6">
        <f t="shared" si="4"/>
        <v>0</v>
      </c>
      <c r="Y6">
        <f t="shared" si="4"/>
        <v>0</v>
      </c>
      <c r="Z6">
        <f t="shared" si="4"/>
        <v>0</v>
      </c>
      <c r="AA6">
        <f t="shared" si="4"/>
        <v>4.3000000000000007</v>
      </c>
      <c r="AB6">
        <f t="shared" si="4"/>
        <v>9.3000000000000007</v>
      </c>
      <c r="AC6">
        <f t="shared" si="4"/>
        <v>13.7</v>
      </c>
      <c r="AD6">
        <f>+SUM(R6:AC6)</f>
        <v>64</v>
      </c>
    </row>
    <row r="7" spans="1:31">
      <c r="A7" s="3">
        <f t="shared" ref="A7:A57" si="5">+A6+7</f>
        <v>44861</v>
      </c>
      <c r="B7" s="141"/>
      <c r="C7" s="41"/>
      <c r="D7" s="7">
        <f>+D6+VLOOKUP(K6,$N$5:$P$57,3)*(1-Eingabedaten!$D$16-Eingabedaten!$D$17)+((A7-A6)/365)*(Eingabedaten!$D$16+Eingabedaten!$D$17)</f>
        <v>3.9777691458727178E-2</v>
      </c>
      <c r="E7" s="1">
        <f>+Eingabedaten!$D$13+(1+Eingabedaten!$D$15)*Eingabedaten!$D$14/Eingabedaten!$D$10*D7</f>
        <v>1680.0213466938451</v>
      </c>
      <c r="F7" s="1">
        <f>+Eingabedaten!$D$13+Eingabedaten!$D$14/Eingabedaten!$D$10*D7</f>
        <v>1664.5177889115375</v>
      </c>
      <c r="G7" s="1">
        <f>+Eingabedaten!$D$13+(1-Eingabedaten!$D$15)*Eingabedaten!$D$14/Eingabedaten!$D$10*D7</f>
        <v>1649.01423112923</v>
      </c>
      <c r="H7" s="1" t="str">
        <f t="shared" si="1"/>
        <v/>
      </c>
      <c r="I7" s="25">
        <f t="shared" si="0"/>
        <v>122.81942880108899</v>
      </c>
      <c r="J7" s="25">
        <f t="shared" si="2"/>
        <v>0.81942880108898919</v>
      </c>
      <c r="K7" s="1">
        <f t="shared" si="3"/>
        <v>44</v>
      </c>
      <c r="L7" s="1"/>
      <c r="M7" s="8">
        <v>4.3021354098882456E-2</v>
      </c>
      <c r="N7" s="30">
        <f t="shared" ref="N7:N38" si="6">+N6+1</f>
        <v>2</v>
      </c>
      <c r="O7" s="31">
        <f>+$R$7/4</f>
        <v>4.4531250000000001E-2</v>
      </c>
      <c r="P7" s="31">
        <v>4.9000000000000002E-2</v>
      </c>
      <c r="Q7" t="s">
        <v>77</v>
      </c>
      <c r="R7" s="37">
        <f>+R6/$AD$6</f>
        <v>0.17812500000000001</v>
      </c>
      <c r="S7" s="37">
        <f t="shared" ref="S7:AC7" si="7">+S6/$AD$6</f>
        <v>0.16562499999999999</v>
      </c>
      <c r="T7" s="37">
        <f t="shared" si="7"/>
        <v>0.14687500000000001</v>
      </c>
      <c r="U7" s="37">
        <f t="shared" si="7"/>
        <v>5.6249999999999994E-2</v>
      </c>
      <c r="V7" s="37">
        <f t="shared" si="7"/>
        <v>2.6562499999999989E-2</v>
      </c>
      <c r="W7" s="37">
        <f t="shared" si="7"/>
        <v>0</v>
      </c>
      <c r="X7" s="37">
        <f t="shared" si="7"/>
        <v>0</v>
      </c>
      <c r="Y7" s="37">
        <f t="shared" si="7"/>
        <v>0</v>
      </c>
      <c r="Z7" s="37">
        <f t="shared" si="7"/>
        <v>0</v>
      </c>
      <c r="AA7" s="37">
        <f t="shared" si="7"/>
        <v>6.7187500000000011E-2</v>
      </c>
      <c r="AB7" s="37">
        <f t="shared" si="7"/>
        <v>0.14531250000000001</v>
      </c>
      <c r="AC7" s="37">
        <f t="shared" si="7"/>
        <v>0.21406249999999999</v>
      </c>
    </row>
    <row r="8" spans="1:31">
      <c r="A8" s="3">
        <f t="shared" si="5"/>
        <v>44868</v>
      </c>
      <c r="B8" s="141"/>
      <c r="C8" s="41"/>
      <c r="D8" s="7">
        <f>+D7+VLOOKUP(K7,$N$5:$P$57,3)*(1-Eingabedaten!$D$16-Eingabedaten!$D$17)+((A8-A7)/365)*(Eingabedaten!$D$16+Eingabedaten!$D$17)</f>
        <v>6.8679472280644999E-2</v>
      </c>
      <c r="E8" s="1">
        <f>+Eingabedaten!$D$13+(1+Eingabedaten!$D$15)*Eingabedaten!$D$14/Eingabedaten!$D$10*D8</f>
        <v>1747.6090441019433</v>
      </c>
      <c r="F8" s="1">
        <f>+Eingabedaten!$D$13+Eingabedaten!$D$14/Eingabedaten!$D$10*D8</f>
        <v>1720.8408700849527</v>
      </c>
      <c r="G8" s="1">
        <f>+Eingabedaten!$D$13+(1-Eingabedaten!$D$15)*Eingabedaten!$D$14/Eingabedaten!$D$10*D8</f>
        <v>1694.0726960679622</v>
      </c>
      <c r="H8" s="1" t="str">
        <f t="shared" si="1"/>
        <v/>
      </c>
      <c r="I8" s="25">
        <f t="shared" si="0"/>
        <v>122.83859324239897</v>
      </c>
      <c r="J8" s="25">
        <f t="shared" si="2"/>
        <v>0.83859324239897148</v>
      </c>
      <c r="K8" s="1">
        <f t="shared" si="3"/>
        <v>45</v>
      </c>
      <c r="L8" s="1"/>
      <c r="M8" s="8">
        <v>4.3190900346193176E-2</v>
      </c>
      <c r="N8" s="30">
        <f t="shared" si="6"/>
        <v>3</v>
      </c>
      <c r="O8" s="31">
        <f>+$R$7/4</f>
        <v>4.4531250000000001E-2</v>
      </c>
      <c r="P8" s="31">
        <v>4.7E-2</v>
      </c>
      <c r="Q8" t="s">
        <v>78</v>
      </c>
      <c r="R8" s="4">
        <f>+R7</f>
        <v>0.17812500000000001</v>
      </c>
      <c r="S8" s="38">
        <f>+R8+S7</f>
        <v>0.34375</v>
      </c>
      <c r="T8" s="38">
        <f t="shared" ref="T8:AC8" si="8">+S8+T7</f>
        <v>0.49062499999999998</v>
      </c>
      <c r="U8" s="38">
        <f t="shared" si="8"/>
        <v>0.546875</v>
      </c>
      <c r="V8" s="38">
        <f t="shared" si="8"/>
        <v>0.57343750000000004</v>
      </c>
      <c r="W8" s="38">
        <f t="shared" si="8"/>
        <v>0.57343750000000004</v>
      </c>
      <c r="X8" s="38">
        <f t="shared" si="8"/>
        <v>0.57343750000000004</v>
      </c>
      <c r="Y8" s="38">
        <f t="shared" si="8"/>
        <v>0.57343750000000004</v>
      </c>
      <c r="Z8" s="38">
        <f t="shared" si="8"/>
        <v>0.57343750000000004</v>
      </c>
      <c r="AA8" s="38">
        <f t="shared" si="8"/>
        <v>0.640625</v>
      </c>
      <c r="AB8" s="38">
        <f t="shared" si="8"/>
        <v>0.78593749999999996</v>
      </c>
      <c r="AC8" s="38">
        <f t="shared" si="8"/>
        <v>1</v>
      </c>
    </row>
    <row r="9" spans="1:31">
      <c r="A9" s="3">
        <f t="shared" si="5"/>
        <v>44875</v>
      </c>
      <c r="B9" s="141"/>
      <c r="C9" s="41"/>
      <c r="D9" s="7">
        <f>+D8+VLOOKUP(K8,$N$5:$P$57,3)*(1-Eingabedaten!$D$16-Eingabedaten!$D$17)+((A9-A8)/365)*(Eingabedaten!$D$16+Eingabedaten!$D$17)</f>
        <v>0.10352125310256281</v>
      </c>
      <c r="E9" s="1">
        <f>+Eingabedaten!$D$13+(1+Eingabedaten!$D$15)*Eingabedaten!$D$14/Eingabedaten!$D$10*D9</f>
        <v>1829.0876129784058</v>
      </c>
      <c r="F9" s="1">
        <f>+Eingabedaten!$D$13+Eingabedaten!$D$14/Eingabedaten!$D$10*D9</f>
        <v>1788.7396774820047</v>
      </c>
      <c r="G9" s="1">
        <f>+Eingabedaten!$D$13+(1-Eingabedaten!$D$15)*Eingabedaten!$D$14/Eingabedaten!$D$10*D9</f>
        <v>1748.3917419856039</v>
      </c>
      <c r="H9" s="1" t="str">
        <f t="shared" si="1"/>
        <v/>
      </c>
      <c r="I9" s="25">
        <f t="shared" si="0"/>
        <v>122.85775768370897</v>
      </c>
      <c r="J9" s="25">
        <f t="shared" si="2"/>
        <v>0.85775768370896799</v>
      </c>
      <c r="K9" s="1">
        <f t="shared" si="3"/>
        <v>46</v>
      </c>
      <c r="L9" s="1"/>
      <c r="M9" s="8">
        <v>4.2995232039566955E-2</v>
      </c>
      <c r="N9" s="30">
        <f t="shared" si="6"/>
        <v>4</v>
      </c>
      <c r="O9" s="31">
        <f>+$R$7/4</f>
        <v>4.4531250000000001E-2</v>
      </c>
      <c r="P9" s="31">
        <v>4.3999999999999997E-2</v>
      </c>
      <c r="S9" s="1"/>
    </row>
    <row r="10" spans="1:31">
      <c r="A10" s="3">
        <f t="shared" si="5"/>
        <v>44882</v>
      </c>
      <c r="B10" s="141"/>
      <c r="C10" s="41"/>
      <c r="D10" s="7">
        <f>+D9+VLOOKUP(K9,$N$5:$P$57,3)*(1-Eingabedaten!$D$16-Eingabedaten!$D$17)+((A10-A9)/365)*(Eingabedaten!$D$16+Eingabedaten!$D$17)</f>
        <v>0.14529303392448062</v>
      </c>
      <c r="E10" s="1">
        <f>+Eingabedaten!$D$13+(1+Eingabedaten!$D$15)*Eingabedaten!$D$14/Eingabedaten!$D$10*D10</f>
        <v>1926.7721985679602</v>
      </c>
      <c r="F10" s="1">
        <f>+Eingabedaten!$D$13+Eingabedaten!$D$14/Eingabedaten!$D$10*D10</f>
        <v>1870.1434988066335</v>
      </c>
      <c r="G10" s="1">
        <f>+Eingabedaten!$D$13+(1-Eingabedaten!$D$15)*Eingabedaten!$D$14/Eingabedaten!$D$10*D10</f>
        <v>1813.514799045307</v>
      </c>
      <c r="H10" s="1" t="str">
        <f t="shared" si="1"/>
        <v/>
      </c>
      <c r="I10" s="25">
        <f t="shared" si="0"/>
        <v>122.87692212501896</v>
      </c>
      <c r="J10" s="25">
        <f t="shared" si="2"/>
        <v>0.87692212501896449</v>
      </c>
      <c r="K10" s="1">
        <f t="shared" si="3"/>
        <v>47</v>
      </c>
      <c r="L10" s="1"/>
      <c r="M10" s="8">
        <v>4.2437186882654299E-2</v>
      </c>
      <c r="N10" s="30">
        <f t="shared" si="6"/>
        <v>5</v>
      </c>
      <c r="O10" s="31">
        <f>+$S$7/4</f>
        <v>4.1406249999999999E-2</v>
      </c>
      <c r="P10" s="31">
        <v>4.2437186882654299E-2</v>
      </c>
      <c r="S10" s="1"/>
      <c r="AE10" s="39"/>
    </row>
    <row r="11" spans="1:31">
      <c r="A11" s="3">
        <f t="shared" si="5"/>
        <v>44889</v>
      </c>
      <c r="B11" s="141"/>
      <c r="C11" s="41"/>
      <c r="D11" s="7">
        <f>+D10+VLOOKUP(K10,$N$5:$P$57,3)*(1-Eingabedaten!$D$16-Eingabedaten!$D$17)+((A11-A10)/365)*(Eingabedaten!$D$16+Eingabedaten!$D$17)</f>
        <v>0.19300481474639844</v>
      </c>
      <c r="E11" s="1">
        <f>+Eingabedaten!$D$13+(1+Eingabedaten!$D$15)*Eingabedaten!$D$14/Eingabedaten!$D$10*D11</f>
        <v>2038.3476556258793</v>
      </c>
      <c r="F11" s="1">
        <f>+Eingabedaten!$D$13+Eingabedaten!$D$14/Eingabedaten!$D$10*D11</f>
        <v>1963.1230463548993</v>
      </c>
      <c r="G11" s="1">
        <f>+Eingabedaten!$D$13+(1-Eingabedaten!$D$15)*Eingabedaten!$D$14/Eingabedaten!$D$10*D11</f>
        <v>1887.8984370839196</v>
      </c>
      <c r="H11" s="1" t="str">
        <f>IF(B11="","",$B$57-$B$5+B11)</f>
        <v/>
      </c>
      <c r="I11" s="25">
        <f t="shared" si="0"/>
        <v>122.89608656632896</v>
      </c>
      <c r="J11" s="25">
        <f t="shared" si="2"/>
        <v>0.896086566328961</v>
      </c>
      <c r="K11" s="1">
        <f t="shared" si="3"/>
        <v>48</v>
      </c>
      <c r="L11" s="1"/>
      <c r="M11" s="8">
        <v>4.1524857993887609E-2</v>
      </c>
      <c r="N11" s="30">
        <f t="shared" si="6"/>
        <v>6</v>
      </c>
      <c r="O11" s="31">
        <f>+$S$7/4</f>
        <v>4.1406249999999999E-2</v>
      </c>
      <c r="P11" s="31">
        <v>0.04</v>
      </c>
      <c r="S11" s="1"/>
      <c r="AE11" s="39"/>
    </row>
    <row r="12" spans="1:31">
      <c r="A12" s="3">
        <f t="shared" si="5"/>
        <v>44896</v>
      </c>
      <c r="B12" s="141"/>
      <c r="C12" s="41"/>
      <c r="D12" s="7">
        <f>+D11+VLOOKUP(K11,$N$5:$P$57,3)*(1-Eingabedaten!$D$16-Eingabedaten!$D$17)+((A12-A11)/365)*(Eingabedaten!$D$16+Eingabedaten!$D$17)</f>
        <v>0.24269659556831627</v>
      </c>
      <c r="E12" s="1">
        <f>+Eingabedaten!$D$13+(1+Eingabedaten!$D$15)*Eingabedaten!$D$14/Eingabedaten!$D$10*D12</f>
        <v>2154.5534031732532</v>
      </c>
      <c r="F12" s="1">
        <f>+Eingabedaten!$D$13+Eingabedaten!$D$14/Eingabedaten!$D$10*D12</f>
        <v>2059.9611693110442</v>
      </c>
      <c r="G12" s="1">
        <f>+Eingabedaten!$D$13+(1-Eingabedaten!$D$15)*Eingabedaten!$D$14/Eingabedaten!$D$10*D12</f>
        <v>1965.3689354488356</v>
      </c>
      <c r="H12" s="1" t="str">
        <f t="shared" ref="H12:H56" si="9">IF(B12="","",$B$57-$B$5+B12)</f>
        <v/>
      </c>
      <c r="I12" s="25">
        <f t="shared" si="0"/>
        <v>122.91525100763896</v>
      </c>
      <c r="J12" s="25">
        <f t="shared" si="2"/>
        <v>0.9152510076389575</v>
      </c>
      <c r="K12" s="1">
        <f t="shared" si="3"/>
        <v>49</v>
      </c>
      <c r="L12" s="1"/>
      <c r="M12" s="8">
        <v>4.027147653503671E-2</v>
      </c>
      <c r="N12" s="30">
        <f t="shared" si="6"/>
        <v>7</v>
      </c>
      <c r="O12" s="31">
        <f>+$S$7/4</f>
        <v>4.1406249999999999E-2</v>
      </c>
      <c r="P12" s="31">
        <v>3.6999999999999998E-2</v>
      </c>
      <c r="S12" s="1"/>
      <c r="AE12" s="39"/>
    </row>
    <row r="13" spans="1:31">
      <c r="A13" s="3">
        <f t="shared" si="5"/>
        <v>44903</v>
      </c>
      <c r="B13" s="141"/>
      <c r="C13" s="41"/>
      <c r="D13" s="7">
        <f>+D12+VLOOKUP(K12,$N$5:$P$57,3)*(1-Eingabedaten!$D$16-Eingabedaten!$D$17)+((A13-A12)/365)*(Eingabedaten!$D$16+Eingabedaten!$D$17)</f>
        <v>0.29337837639023406</v>
      </c>
      <c r="E13" s="1">
        <f>+Eingabedaten!$D$13+(1+Eingabedaten!$D$15)*Eingabedaten!$D$14/Eingabedaten!$D$10*D13</f>
        <v>2273.0742959653544</v>
      </c>
      <c r="F13" s="1">
        <f>+Eingabedaten!$D$13+Eingabedaten!$D$14/Eingabedaten!$D$10*D13</f>
        <v>2158.7285799711285</v>
      </c>
      <c r="G13" s="1">
        <f>+Eingabedaten!$D$13+(1-Eingabedaten!$D$15)*Eingabedaten!$D$14/Eingabedaten!$D$10*D13</f>
        <v>2044.3828639769031</v>
      </c>
      <c r="H13" s="1" t="str">
        <f t="shared" si="9"/>
        <v/>
      </c>
      <c r="I13" s="25">
        <f t="shared" si="0"/>
        <v>122.93441544894894</v>
      </c>
      <c r="J13" s="25">
        <f t="shared" si="2"/>
        <v>0.9344154489489398</v>
      </c>
      <c r="K13" s="1">
        <f t="shared" si="3"/>
        <v>50</v>
      </c>
      <c r="L13" s="1"/>
      <c r="M13" s="8">
        <v>3.8695219824660176E-2</v>
      </c>
      <c r="N13" s="30">
        <f t="shared" si="6"/>
        <v>8</v>
      </c>
      <c r="O13" s="31">
        <f>+$S$7/4</f>
        <v>4.1406249999999999E-2</v>
      </c>
      <c r="P13" s="31">
        <v>3.3000000000000002E-2</v>
      </c>
      <c r="S13" s="1"/>
      <c r="AE13" s="39"/>
    </row>
    <row r="14" spans="1:31">
      <c r="A14" s="3">
        <f t="shared" si="5"/>
        <v>44910</v>
      </c>
      <c r="B14" s="141"/>
      <c r="C14" s="41"/>
      <c r="D14" s="7">
        <f>+D13+VLOOKUP(K13,$N$5:$P$57,3)*(1-Eingabedaten!$D$16-Eingabedaten!$D$17)+((A14-A13)/365)*(Eingabedaten!$D$16+Eingabedaten!$D$17)</f>
        <v>0.34505015721215188</v>
      </c>
      <c r="E14" s="1">
        <f>+Eingabedaten!$D$13+(1+Eingabedaten!$D$15)*Eingabedaten!$D$14/Eingabedaten!$D$10*D14</f>
        <v>2393.9103340021829</v>
      </c>
      <c r="F14" s="1">
        <f>+Eingabedaten!$D$13+Eingabedaten!$D$14/Eingabedaten!$D$10*D14</f>
        <v>2259.4252783351526</v>
      </c>
      <c r="G14" s="1">
        <f>+Eingabedaten!$D$13+(1-Eingabedaten!$D$15)*Eingabedaten!$D$14/Eingabedaten!$D$10*D14</f>
        <v>2124.9402226681223</v>
      </c>
      <c r="H14" s="1" t="str">
        <f t="shared" si="9"/>
        <v/>
      </c>
      <c r="I14" s="25">
        <f t="shared" si="0"/>
        <v>122.95357989025894</v>
      </c>
      <c r="J14" s="25">
        <f t="shared" si="2"/>
        <v>0.9535798902589363</v>
      </c>
      <c r="K14" s="1">
        <f t="shared" si="3"/>
        <v>51</v>
      </c>
      <c r="L14" s="1"/>
      <c r="M14" s="8">
        <v>3.6818947719310491E-2</v>
      </c>
      <c r="N14" s="30">
        <f t="shared" si="6"/>
        <v>9</v>
      </c>
      <c r="O14" s="31">
        <f>+$T$7/4</f>
        <v>3.6718750000000001E-2</v>
      </c>
      <c r="P14" s="31">
        <v>2.8000000000000001E-2</v>
      </c>
      <c r="S14" s="1"/>
      <c r="AE14" s="39"/>
    </row>
    <row r="15" spans="1:31">
      <c r="A15" s="3">
        <f t="shared" si="5"/>
        <v>44917</v>
      </c>
      <c r="B15" s="141"/>
      <c r="C15" s="41"/>
      <c r="D15" s="7">
        <f>+D14+VLOOKUP(K14,$N$5:$P$57,3)*(1-Eingabedaten!$D$16-Eingabedaten!$D$17)+((A15-A14)/365)*(Eingabedaten!$D$16+Eingabedaten!$D$17)</f>
        <v>0.39672193803406969</v>
      </c>
      <c r="E15" s="1">
        <f>+Eingabedaten!$D$13+(1+Eingabedaten!$D$15)*Eingabedaten!$D$14/Eingabedaten!$D$10*D15</f>
        <v>2514.7463720390115</v>
      </c>
      <c r="F15" s="1">
        <f>+Eingabedaten!$D$13+Eingabedaten!$D$14/Eingabedaten!$D$10*D15</f>
        <v>2360.1219766991762</v>
      </c>
      <c r="G15" s="1">
        <f>+Eingabedaten!$D$13+(1-Eingabedaten!$D$15)*Eingabedaten!$D$14/Eingabedaten!$D$10*D15</f>
        <v>2205.497581359341</v>
      </c>
      <c r="H15" s="1" t="str">
        <f t="shared" si="9"/>
        <v/>
      </c>
      <c r="I15" s="25">
        <f t="shared" si="0"/>
        <v>122.97274433156893</v>
      </c>
      <c r="J15" s="25">
        <f t="shared" si="2"/>
        <v>0.97274433156893281</v>
      </c>
      <c r="K15" s="1">
        <f t="shared" si="3"/>
        <v>52</v>
      </c>
      <c r="L15" s="1"/>
      <c r="M15" s="8">
        <v>3.4669871085656279E-2</v>
      </c>
      <c r="N15" s="30">
        <f t="shared" si="6"/>
        <v>10</v>
      </c>
      <c r="O15" s="31">
        <f>+$T$7/4</f>
        <v>3.6718750000000001E-2</v>
      </c>
      <c r="P15" s="31">
        <v>2.3E-2</v>
      </c>
      <c r="S15" s="1"/>
      <c r="AE15" s="39"/>
    </row>
    <row r="16" spans="1:31">
      <c r="A16" s="3">
        <f t="shared" si="5"/>
        <v>44924</v>
      </c>
      <c r="B16" s="141"/>
      <c r="C16" s="41"/>
      <c r="D16" s="7">
        <f>+D15+VLOOKUP(K15,$N$5:$P$57,3)*(1-Eingabedaten!$D$16-Eingabedaten!$D$17)+((A16-A15)/365)*(Eingabedaten!$D$16+Eingabedaten!$D$17)</f>
        <v>0.44740371885598745</v>
      </c>
      <c r="E16" s="1">
        <f>+Eingabedaten!$D$13+(1+Eingabedaten!$D$15)*Eingabedaten!$D$14/Eingabedaten!$D$10*D16</f>
        <v>2633.2672648311127</v>
      </c>
      <c r="F16" s="1">
        <f>+Eingabedaten!$D$13+Eingabedaten!$D$14/Eingabedaten!$D$10*D16</f>
        <v>2458.8893873592606</v>
      </c>
      <c r="G16" s="1">
        <f>+Eingabedaten!$D$13+(1-Eingabedaten!$D$15)*Eingabedaten!$D$14/Eingabedaten!$D$10*D16</f>
        <v>2284.5115098874085</v>
      </c>
      <c r="H16" s="1" t="str">
        <f t="shared" si="9"/>
        <v/>
      </c>
      <c r="I16" s="25">
        <f t="shared" si="0"/>
        <v>122.99190877287893</v>
      </c>
      <c r="J16" s="25">
        <f t="shared" si="2"/>
        <v>0.99190877287892931</v>
      </c>
      <c r="K16" s="1">
        <f t="shared" si="3"/>
        <v>53</v>
      </c>
      <c r="L16" s="1"/>
      <c r="M16" s="8">
        <v>3.2279157171546002E-2</v>
      </c>
      <c r="N16" s="30">
        <f t="shared" si="6"/>
        <v>11</v>
      </c>
      <c r="O16" s="31">
        <f>+$T$7/4</f>
        <v>3.6718750000000001E-2</v>
      </c>
      <c r="P16" s="31">
        <v>1.7999999999999999E-2</v>
      </c>
      <c r="S16" s="1"/>
    </row>
    <row r="17" spans="1:36">
      <c r="A17" s="3">
        <f t="shared" si="5"/>
        <v>44931</v>
      </c>
      <c r="B17" s="141"/>
      <c r="C17" s="41"/>
      <c r="D17" s="7">
        <f>+D16+VLOOKUP(K16,$N$5:$P$57,3)*(1-Eingabedaten!$D$16-Eingabedaten!$D$17)+((A17-A16)/365)*(Eingabedaten!$D$16+Eingabedaten!$D$17)</f>
        <v>0.49808549967790522</v>
      </c>
      <c r="E17" s="1">
        <f>+Eingabedaten!$D$13+(1+Eingabedaten!$D$15)*Eingabedaten!$D$14/Eingabedaten!$D$10*D17</f>
        <v>2751.7881576232139</v>
      </c>
      <c r="F17" s="1">
        <f>+Eingabedaten!$D$13+Eingabedaten!$D$14/Eingabedaten!$D$10*D17</f>
        <v>2557.6567980193449</v>
      </c>
      <c r="G17" s="1">
        <f>+Eingabedaten!$D$13+(1-Eingabedaten!$D$15)*Eingabedaten!$D$14/Eingabedaten!$D$10*D17</f>
        <v>2363.5254384154759</v>
      </c>
      <c r="H17" s="1" t="str">
        <f t="shared" si="9"/>
        <v/>
      </c>
      <c r="I17" s="25">
        <f t="shared" si="0"/>
        <v>123.01107321418893</v>
      </c>
      <c r="J17" s="25">
        <f t="shared" si="2"/>
        <v>1.1073214188925817E-2</v>
      </c>
      <c r="K17" s="1">
        <f t="shared" si="3"/>
        <v>2</v>
      </c>
      <c r="L17" s="1"/>
      <c r="M17" s="8">
        <v>2.9681477599168504E-2</v>
      </c>
      <c r="N17" s="30">
        <f t="shared" si="6"/>
        <v>12</v>
      </c>
      <c r="O17" s="31">
        <f>+$T$7/4</f>
        <v>3.6718750000000001E-2</v>
      </c>
      <c r="P17" s="31">
        <v>1.7000000000000001E-2</v>
      </c>
      <c r="S17" s="1"/>
      <c r="AE17" s="39"/>
    </row>
    <row r="18" spans="1:36">
      <c r="A18" s="3">
        <f t="shared" si="5"/>
        <v>44938</v>
      </c>
      <c r="B18" s="141"/>
      <c r="C18" s="41"/>
      <c r="D18" s="7">
        <f>+D17+VLOOKUP(K17,$N$5:$P$57,3)*(1-Eingabedaten!$D$16-Eingabedaten!$D$17)+((A18-A17)/365)*(Eingabedaten!$D$16+Eingabedaten!$D$17)</f>
        <v>0.54678728049982306</v>
      </c>
      <c r="E18" s="1">
        <f>+Eingabedaten!$D$13+(1+Eingabedaten!$D$15)*Eingabedaten!$D$14/Eingabedaten!$D$10*D18</f>
        <v>2865.6787599258605</v>
      </c>
      <c r="F18" s="1">
        <f>+Eingabedaten!$D$13+Eingabedaten!$D$14/Eingabedaten!$D$10*D18</f>
        <v>2652.5656332715507</v>
      </c>
      <c r="G18" s="1">
        <f>+Eingabedaten!$D$13+(1-Eingabedaten!$D$15)*Eingabedaten!$D$14/Eingabedaten!$D$10*D18</f>
        <v>2439.4525066172405</v>
      </c>
      <c r="H18" s="1" t="str">
        <f t="shared" si="9"/>
        <v/>
      </c>
      <c r="I18" s="25">
        <f t="shared" si="0"/>
        <v>123.03023765549891</v>
      </c>
      <c r="J18" s="25">
        <f t="shared" si="2"/>
        <v>3.0237655498908111E-2</v>
      </c>
      <c r="K18" s="1">
        <f t="shared" si="3"/>
        <v>3</v>
      </c>
      <c r="L18" s="1"/>
      <c r="M18" s="8">
        <v>2.6914505535592492E-2</v>
      </c>
      <c r="N18" s="30">
        <f t="shared" si="6"/>
        <v>13</v>
      </c>
      <c r="O18" s="31">
        <f>+$T$7/4</f>
        <v>3.6718750000000001E-2</v>
      </c>
      <c r="P18" s="31">
        <v>1.4999999999999999E-2</v>
      </c>
      <c r="S18" s="1"/>
      <c r="AE18" s="39"/>
      <c r="AF18" s="39"/>
      <c r="AG18" s="39"/>
      <c r="AH18" s="39"/>
      <c r="AI18" s="39"/>
      <c r="AJ18" s="39"/>
    </row>
    <row r="19" spans="1:36">
      <c r="A19" s="3">
        <f t="shared" si="5"/>
        <v>44945</v>
      </c>
      <c r="B19" s="141"/>
      <c r="C19" s="41"/>
      <c r="D19" s="7">
        <f>+D18+VLOOKUP(K18,$N$5:$P$57,3)*(1-Eingabedaten!$D$16-Eingabedaten!$D$17)+((A19-A18)/365)*(Eingabedaten!$D$16+Eingabedaten!$D$17)</f>
        <v>0.59350906132174086</v>
      </c>
      <c r="E19" s="1">
        <f>+Eingabedaten!$D$13+(1+Eingabedaten!$D$15)*Eingabedaten!$D$14/Eingabedaten!$D$10*D19</f>
        <v>2974.9390717390525</v>
      </c>
      <c r="F19" s="1">
        <f>+Eingabedaten!$D$13+Eingabedaten!$D$14/Eingabedaten!$D$10*D19</f>
        <v>2743.615893115877</v>
      </c>
      <c r="G19" s="1">
        <f>+Eingabedaten!$D$13+(1-Eingabedaten!$D$15)*Eingabedaten!$D$14/Eingabedaten!$D$10*D19</f>
        <v>2512.2927144927016</v>
      </c>
      <c r="H19" s="1" t="str">
        <f t="shared" si="9"/>
        <v/>
      </c>
      <c r="I19" s="25">
        <f t="shared" si="0"/>
        <v>123.0494020968089</v>
      </c>
      <c r="J19" s="25">
        <f t="shared" si="2"/>
        <v>4.9402096808904616E-2</v>
      </c>
      <c r="K19" s="1">
        <f t="shared" si="3"/>
        <v>4</v>
      </c>
      <c r="L19" s="1"/>
      <c r="M19" s="8">
        <v>2.4018369333034806E-2</v>
      </c>
      <c r="N19" s="30">
        <f t="shared" si="6"/>
        <v>14</v>
      </c>
      <c r="O19" s="31">
        <f>+$U$7/4</f>
        <v>1.4062499999999999E-2</v>
      </c>
      <c r="P19" s="31">
        <v>1.2999999999999999E-2</v>
      </c>
      <c r="S19" s="1"/>
    </row>
    <row r="20" spans="1:36">
      <c r="A20" s="3">
        <f t="shared" si="5"/>
        <v>44952</v>
      </c>
      <c r="B20" s="141"/>
      <c r="C20" s="41"/>
      <c r="D20" s="7">
        <f>+D19+VLOOKUP(K19,$N$5:$P$57,3)*(1-Eingabedaten!$D$16-Eingabedaten!$D$17)+((A20-A19)/365)*(Eingabedaten!$D$16+Eingabedaten!$D$17)</f>
        <v>0.63726084214365875</v>
      </c>
      <c r="E20" s="1">
        <f>+Eingabedaten!$D$13+(1+Eingabedaten!$D$15)*Eingabedaten!$D$14/Eingabedaten!$D$10*D20</f>
        <v>3077.2539478180615</v>
      </c>
      <c r="F20" s="1">
        <f>+Eingabedaten!$D$13+Eingabedaten!$D$14/Eingabedaten!$D$10*D20</f>
        <v>2828.8782898483846</v>
      </c>
      <c r="G20" s="1">
        <f>+Eingabedaten!$D$13+(1-Eingabedaten!$D$15)*Eingabedaten!$D$14/Eingabedaten!$D$10*D20</f>
        <v>2580.5026318787077</v>
      </c>
      <c r="H20" s="1" t="str">
        <f t="shared" si="9"/>
        <v/>
      </c>
      <c r="I20" s="25">
        <f t="shared" si="0"/>
        <v>123.0685665381189</v>
      </c>
      <c r="J20" s="25">
        <f t="shared" si="2"/>
        <v>6.8566538118901121E-2</v>
      </c>
      <c r="K20" s="1">
        <f t="shared" si="3"/>
        <v>5</v>
      </c>
      <c r="L20" s="1"/>
      <c r="M20" s="8">
        <v>2.1035070562502756E-2</v>
      </c>
      <c r="N20" s="30">
        <f t="shared" si="6"/>
        <v>15</v>
      </c>
      <c r="O20" s="31">
        <f>+$U$7/4</f>
        <v>1.4062499999999999E-2</v>
      </c>
      <c r="P20" s="31">
        <v>1.0999999999999999E-2</v>
      </c>
      <c r="S20" s="1"/>
      <c r="AE20" s="39"/>
    </row>
    <row r="21" spans="1:36">
      <c r="A21" s="3">
        <f t="shared" si="5"/>
        <v>44959</v>
      </c>
      <c r="B21" s="141"/>
      <c r="C21" s="41"/>
      <c r="D21" s="7">
        <f>+D20+VLOOKUP(K20,$N$5:$P$57,3)*(1-Eingabedaten!$D$16-Eingabedaten!$D$17)+((A21-A20)/365)*(Eingabedaten!$D$16+Eingabedaten!$D$17)</f>
        <v>0.67946543797940429</v>
      </c>
      <c r="E21" s="1">
        <f>+Eingabedaten!$D$13+(1+Eingabedaten!$D$15)*Eingabedaten!$D$14/Eingabedaten!$D$10*D21</f>
        <v>3175.9506845400501</v>
      </c>
      <c r="F21" s="1">
        <f>+Eingabedaten!$D$13+Eingabedaten!$D$14/Eingabedaten!$D$10*D21</f>
        <v>2911.1255704500418</v>
      </c>
      <c r="G21" s="1">
        <f>+Eingabedaten!$D$13+(1-Eingabedaten!$D$15)*Eingabedaten!$D$14/Eingabedaten!$D$10*D21</f>
        <v>2646.3004563600334</v>
      </c>
      <c r="H21" s="1" t="str">
        <f t="shared" si="9"/>
        <v/>
      </c>
      <c r="I21" s="25">
        <f t="shared" si="0"/>
        <v>123.0877309794289</v>
      </c>
      <c r="J21" s="25">
        <f t="shared" si="2"/>
        <v>8.7730979428897626E-2</v>
      </c>
      <c r="K21" s="1">
        <f t="shared" si="3"/>
        <v>6</v>
      </c>
      <c r="L21" s="1"/>
      <c r="M21" s="8">
        <v>1.8007874880851538E-2</v>
      </c>
      <c r="N21" s="30">
        <f t="shared" si="6"/>
        <v>16</v>
      </c>
      <c r="O21" s="31">
        <f>+$U$7/4</f>
        <v>1.4062499999999999E-2</v>
      </c>
      <c r="P21" s="31">
        <v>0.01</v>
      </c>
      <c r="S21" s="1"/>
      <c r="AE21" s="39"/>
    </row>
    <row r="22" spans="1:36">
      <c r="A22" s="3">
        <f t="shared" si="5"/>
        <v>44966</v>
      </c>
      <c r="B22" s="141"/>
      <c r="C22" s="41"/>
      <c r="D22" s="7">
        <f>+D21+VLOOKUP(K21,$N$5:$P$57,3)*(1-Eingabedaten!$D$16-Eingabedaten!$D$17)+((A22-A21)/365)*(Eingabedaten!$D$16+Eingabedaten!$D$17)</f>
        <v>0.7192572188013221</v>
      </c>
      <c r="E22" s="1">
        <f>+Eingabedaten!$D$13+(1+Eingabedaten!$D$15)*Eingabedaten!$D$14/Eingabedaten!$D$10*D22</f>
        <v>3269.0049796401499</v>
      </c>
      <c r="F22" s="1">
        <f>+Eingabedaten!$D$13+Eingabedaten!$D$14/Eingabedaten!$D$10*D22</f>
        <v>2988.6708163667918</v>
      </c>
      <c r="G22" s="1">
        <f>+Eingabedaten!$D$13+(1-Eingabedaten!$D$15)*Eingabedaten!$D$14/Eingabedaten!$D$10*D22</f>
        <v>2708.3366530934336</v>
      </c>
      <c r="H22" s="1" t="str">
        <f t="shared" si="9"/>
        <v/>
      </c>
      <c r="I22" s="25">
        <f t="shared" si="0"/>
        <v>123.10689542073889</v>
      </c>
      <c r="J22" s="25">
        <f t="shared" si="2"/>
        <v>0.10689542073889413</v>
      </c>
      <c r="K22" s="1">
        <f t="shared" si="3"/>
        <v>7</v>
      </c>
      <c r="L22" s="1"/>
      <c r="M22" s="8">
        <v>1.4980684565282232E-2</v>
      </c>
      <c r="N22" s="30">
        <f t="shared" si="6"/>
        <v>17</v>
      </c>
      <c r="O22" s="31">
        <f>+$U$7/4</f>
        <v>1.4062499999999999E-2</v>
      </c>
      <c r="P22" s="31">
        <v>8.9999999999999993E-3</v>
      </c>
      <c r="S22" s="1"/>
      <c r="AE22" s="39"/>
    </row>
    <row r="23" spans="1:36">
      <c r="A23" s="3">
        <f t="shared" si="5"/>
        <v>44973</v>
      </c>
      <c r="B23" s="141"/>
      <c r="C23" s="41"/>
      <c r="D23" s="7">
        <f>+D22+VLOOKUP(K22,$N$5:$P$57,3)*(1-Eingabedaten!$D$16-Eingabedaten!$D$17)+((A23-A22)/365)*(Eingabedaten!$D$16+Eingabedaten!$D$17)</f>
        <v>0.75607899962323999</v>
      </c>
      <c r="E23" s="1">
        <f>+Eingabedaten!$D$13+(1+Eingabedaten!$D$15)*Eingabedaten!$D$14/Eingabedaten!$D$10*D23</f>
        <v>3355.1138390060678</v>
      </c>
      <c r="F23" s="1">
        <f>+Eingabedaten!$D$13+Eingabedaten!$D$14/Eingabedaten!$D$10*D23</f>
        <v>3060.428199171723</v>
      </c>
      <c r="G23" s="1">
        <f>+Eingabedaten!$D$13+(1-Eingabedaten!$D$15)*Eingabedaten!$D$14/Eingabedaten!$D$10*D23</f>
        <v>2765.7425593373782</v>
      </c>
      <c r="H23" s="1" t="str">
        <f t="shared" si="9"/>
        <v/>
      </c>
      <c r="I23" s="25">
        <f t="shared" si="0"/>
        <v>123.12605986204888</v>
      </c>
      <c r="J23" s="25">
        <f t="shared" si="2"/>
        <v>0.12605986204887643</v>
      </c>
      <c r="K23" s="1">
        <f t="shared" si="3"/>
        <v>8</v>
      </c>
      <c r="L23" s="1"/>
      <c r="M23" s="8">
        <v>1.1997401815173392E-2</v>
      </c>
      <c r="N23" s="30">
        <f t="shared" si="6"/>
        <v>18</v>
      </c>
      <c r="O23" s="31">
        <f>+$V$7/4</f>
        <v>6.6406249999999972E-3</v>
      </c>
      <c r="P23" s="31">
        <v>7.0000000000000001E-3</v>
      </c>
      <c r="S23" s="1"/>
    </row>
    <row r="24" spans="1:36">
      <c r="A24" s="3">
        <f>+A23+7</f>
        <v>44980</v>
      </c>
      <c r="B24" s="141"/>
      <c r="C24" s="41"/>
      <c r="D24" s="7">
        <f>+D23+VLOOKUP(K23,$N$5:$P$57,3)*(1-Eingabedaten!$D$16-Eingabedaten!$D$17)+((A24-A23)/365)*(Eingabedaten!$D$16+Eingabedaten!$D$17)</f>
        <v>0.78894078044515781</v>
      </c>
      <c r="E24" s="1">
        <f>+Eingabedaten!$D$13+(1+Eingabedaten!$D$15)*Eingabedaten!$D$14/Eingabedaten!$D$10*D24</f>
        <v>3431.9621173930755</v>
      </c>
      <c r="F24" s="1">
        <f>+Eingabedaten!$D$13+Eingabedaten!$D$14/Eingabedaten!$D$10*D24</f>
        <v>3124.4684311608962</v>
      </c>
      <c r="G24" s="1">
        <f>+Eingabedaten!$D$13+(1-Eingabedaten!$D$15)*Eingabedaten!$D$14/Eingabedaten!$D$10*D24</f>
        <v>2816.974744928717</v>
      </c>
      <c r="H24" s="1" t="str">
        <f t="shared" si="9"/>
        <v/>
      </c>
      <c r="I24" s="25">
        <f t="shared" si="0"/>
        <v>123.14522430335887</v>
      </c>
      <c r="J24" s="25">
        <f t="shared" si="2"/>
        <v>0.14522430335887293</v>
      </c>
      <c r="K24" s="1">
        <f t="shared" si="3"/>
        <v>9</v>
      </c>
      <c r="L24" s="1"/>
      <c r="M24" s="8">
        <v>9.101292055041954E-3</v>
      </c>
      <c r="N24" s="30">
        <f t="shared" si="6"/>
        <v>19</v>
      </c>
      <c r="O24" s="31">
        <f>+$V$7/4</f>
        <v>6.6406249999999972E-3</v>
      </c>
      <c r="P24" s="31">
        <v>5.0000000000000001E-3</v>
      </c>
      <c r="S24" s="1"/>
    </row>
    <row r="25" spans="1:36">
      <c r="A25" s="3">
        <f t="shared" si="5"/>
        <v>44987</v>
      </c>
      <c r="B25" s="141"/>
      <c r="C25" s="41"/>
      <c r="D25" s="7">
        <f>+D24+VLOOKUP(K24,$N$5:$P$57,3)*(1-Eingabedaten!$D$16-Eingabedaten!$D$17)+((A25-A24)/365)*(Eingabedaten!$D$16+Eingabedaten!$D$17)</f>
        <v>0.81685256126707562</v>
      </c>
      <c r="E25" s="1">
        <f>+Eingabedaten!$D$13+(1+Eingabedaten!$D$15)*Eingabedaten!$D$14/Eingabedaten!$D$10*D25</f>
        <v>3497.2346695564461</v>
      </c>
      <c r="F25" s="1">
        <f>+Eingabedaten!$D$13+Eingabedaten!$D$14/Eingabedaten!$D$10*D25</f>
        <v>3178.8622246303717</v>
      </c>
      <c r="G25" s="1">
        <f>+Eingabedaten!$D$13+(1-Eingabedaten!$D$15)*Eingabedaten!$D$14/Eingabedaten!$D$10*D25</f>
        <v>2860.4897797042977</v>
      </c>
      <c r="H25" s="1" t="str">
        <f t="shared" si="9"/>
        <v/>
      </c>
      <c r="I25" s="25">
        <f t="shared" si="0"/>
        <v>123.16438874466887</v>
      </c>
      <c r="J25" s="25">
        <f t="shared" si="2"/>
        <v>0.16438874466886944</v>
      </c>
      <c r="K25" s="1">
        <f t="shared" si="3"/>
        <v>10</v>
      </c>
      <c r="L25" s="1"/>
      <c r="M25" s="8">
        <v>6.3343564724109847E-3</v>
      </c>
      <c r="N25" s="30">
        <f t="shared" si="6"/>
        <v>20</v>
      </c>
      <c r="O25" s="31">
        <f>+$V$7/4</f>
        <v>6.6406249999999972E-3</v>
      </c>
      <c r="P25" s="31">
        <v>3.0000000000000001E-3</v>
      </c>
      <c r="S25" s="1"/>
    </row>
    <row r="26" spans="1:36">
      <c r="A26" s="3">
        <f t="shared" si="5"/>
        <v>44994</v>
      </c>
      <c r="B26" s="141"/>
      <c r="C26" s="41"/>
      <c r="D26" s="7">
        <f>+D25+VLOOKUP(K25,$N$5:$P$57,3)*(1-Eingabedaten!$D$16-Eingabedaten!$D$17)+((A26-A25)/365)*(Eingabedaten!$D$16+Eingabedaten!$D$17)</f>
        <v>0.83981434208899342</v>
      </c>
      <c r="E26" s="1">
        <f>+Eingabedaten!$D$13+(1+Eingabedaten!$D$15)*Eingabedaten!$D$14/Eingabedaten!$D$10*D26</f>
        <v>3550.9314954961797</v>
      </c>
      <c r="F26" s="1">
        <f>+Eingabedaten!$D$13+Eingabedaten!$D$14/Eingabedaten!$D$10*D26</f>
        <v>3223.6095795801493</v>
      </c>
      <c r="G26" s="1">
        <f>+Eingabedaten!$D$13+(1-Eingabedaten!$D$15)*Eingabedaten!$D$14/Eingabedaten!$D$10*D26</f>
        <v>2896.2876636641195</v>
      </c>
      <c r="H26" s="1" t="str">
        <f t="shared" si="9"/>
        <v/>
      </c>
      <c r="I26" s="25">
        <f t="shared" si="0"/>
        <v>123.18355318597887</v>
      </c>
      <c r="J26" s="25">
        <f t="shared" si="2"/>
        <v>0.18355318597886594</v>
      </c>
      <c r="K26" s="1">
        <f t="shared" si="3"/>
        <v>11</v>
      </c>
      <c r="L26" s="1"/>
      <c r="M26" s="8">
        <v>3.7367228904277017E-3</v>
      </c>
      <c r="N26" s="30">
        <f t="shared" si="6"/>
        <v>21</v>
      </c>
      <c r="O26" s="31">
        <f>+$V$7/4</f>
        <v>6.6406249999999972E-3</v>
      </c>
      <c r="P26" s="31">
        <v>2E-3</v>
      </c>
      <c r="S26" s="1"/>
    </row>
    <row r="27" spans="1:36">
      <c r="A27" s="3">
        <f t="shared" si="5"/>
        <v>45001</v>
      </c>
      <c r="B27" s="141"/>
      <c r="C27" s="41"/>
      <c r="D27" s="7">
        <f>+D26+VLOOKUP(K26,$N$5:$P$57,3)*(1-Eingabedaten!$D$16-Eingabedaten!$D$17)+((A27-A26)/365)*(Eingabedaten!$D$16+Eingabedaten!$D$17)</f>
        <v>0.8578261229109112</v>
      </c>
      <c r="E27" s="1">
        <f>+Eingabedaten!$D$13+(1+Eingabedaten!$D$15)*Eingabedaten!$D$14/Eingabedaten!$D$10*D27</f>
        <v>3593.0525952122762</v>
      </c>
      <c r="F27" s="1">
        <f>+Eingabedaten!$D$13+Eingabedaten!$D$14/Eingabedaten!$D$10*D27</f>
        <v>3258.7104960102297</v>
      </c>
      <c r="G27" s="1">
        <f>+Eingabedaten!$D$13+(1-Eingabedaten!$D$15)*Eingabedaten!$D$14/Eingabedaten!$D$10*D27</f>
        <v>2924.3683968081841</v>
      </c>
      <c r="H27" s="1" t="str">
        <f t="shared" si="9"/>
        <v/>
      </c>
      <c r="I27" s="25">
        <f t="shared" si="0"/>
        <v>123.20271762728886</v>
      </c>
      <c r="J27" s="25">
        <f t="shared" si="2"/>
        <v>0.20271762728886245</v>
      </c>
      <c r="K27" s="1">
        <f t="shared" si="3"/>
        <v>12</v>
      </c>
      <c r="L27" s="1"/>
      <c r="M27" s="8">
        <v>1.3460638091796762E-3</v>
      </c>
      <c r="N27" s="30">
        <f t="shared" si="6"/>
        <v>22</v>
      </c>
      <c r="O27" s="31">
        <f>+$W$7/4</f>
        <v>0</v>
      </c>
      <c r="P27" s="31">
        <v>1.3460638091796762E-3</v>
      </c>
      <c r="S27" s="1"/>
    </row>
    <row r="28" spans="1:36">
      <c r="A28" s="3">
        <f t="shared" si="5"/>
        <v>45008</v>
      </c>
      <c r="B28" s="141"/>
      <c r="C28" s="41"/>
      <c r="D28" s="7">
        <f>+D27+VLOOKUP(K27,$N$5:$P$57,3)*(1-Eingabedaten!$D$16-Eingabedaten!$D$17)+((A28-A27)/365)*(Eingabedaten!$D$16+Eingabedaten!$D$17)</f>
        <v>0.87484790373282906</v>
      </c>
      <c r="E28" s="1">
        <f>+Eingabedaten!$D$13+(1+Eingabedaten!$D$15)*Eingabedaten!$D$14/Eingabedaten!$D$10*D28</f>
        <v>3632.8585496836449</v>
      </c>
      <c r="F28" s="1">
        <f>+Eingabedaten!$D$13+Eingabedaten!$D$14/Eingabedaten!$D$10*D28</f>
        <v>3291.8821247363712</v>
      </c>
      <c r="G28" s="1">
        <f>+Eingabedaten!$D$13+(1-Eingabedaten!$D$15)*Eingabedaten!$D$14/Eingabedaten!$D$10*D28</f>
        <v>2950.9056997890966</v>
      </c>
      <c r="H28" s="1" t="str">
        <f t="shared" si="9"/>
        <v/>
      </c>
      <c r="I28" s="25">
        <f t="shared" si="0"/>
        <v>123.22188206859884</v>
      </c>
      <c r="J28" s="25">
        <f t="shared" si="2"/>
        <v>0.22188206859884474</v>
      </c>
      <c r="K28" s="1">
        <f t="shared" si="3"/>
        <v>13</v>
      </c>
      <c r="L28" s="1"/>
      <c r="M28" s="8">
        <v>1.0822259321141559E-5</v>
      </c>
      <c r="N28" s="30">
        <f t="shared" si="6"/>
        <v>23</v>
      </c>
      <c r="O28" s="31">
        <f>+$W$7/4</f>
        <v>0</v>
      </c>
      <c r="P28" s="31">
        <v>1.0822259321141559E-5</v>
      </c>
      <c r="S28" s="1"/>
    </row>
    <row r="29" spans="1:36">
      <c r="A29" s="3">
        <f t="shared" si="5"/>
        <v>45015</v>
      </c>
      <c r="B29" s="141"/>
      <c r="C29" s="41"/>
      <c r="D29" s="7">
        <f>+D28+VLOOKUP(K28,$N$5:$P$57,3)*(1-Eingabedaten!$D$16-Eingabedaten!$D$17)+((A29-A28)/365)*(Eingabedaten!$D$16+Eingabedaten!$D$17)</f>
        <v>0.88988968455474693</v>
      </c>
      <c r="E29" s="1">
        <f>+Eingabedaten!$D$13+(1+Eingabedaten!$D$15)*Eingabedaten!$D$14/Eingabedaten!$D$10*D29</f>
        <v>3668.0342136655595</v>
      </c>
      <c r="F29" s="1">
        <f>+Eingabedaten!$D$13+Eingabedaten!$D$14/Eingabedaten!$D$10*D29</f>
        <v>3321.1951780546328</v>
      </c>
      <c r="G29" s="1">
        <f>+Eingabedaten!$D$13+(1-Eingabedaten!$D$15)*Eingabedaten!$D$14/Eingabedaten!$D$10*D29</f>
        <v>2974.3561424437066</v>
      </c>
      <c r="H29" s="1" t="str">
        <f t="shared" si="9"/>
        <v/>
      </c>
      <c r="I29" s="25">
        <f t="shared" si="0"/>
        <v>123.24104650990884</v>
      </c>
      <c r="J29" s="25">
        <f t="shared" si="2"/>
        <v>0.24104650990884124</v>
      </c>
      <c r="K29" s="1">
        <f t="shared" si="3"/>
        <v>14</v>
      </c>
      <c r="L29" s="1"/>
      <c r="M29" s="8">
        <v>0</v>
      </c>
      <c r="N29" s="30">
        <f t="shared" si="6"/>
        <v>24</v>
      </c>
      <c r="O29" s="31">
        <f>+$W$7/4</f>
        <v>0</v>
      </c>
      <c r="P29" s="31">
        <v>0</v>
      </c>
      <c r="S29" s="1"/>
    </row>
    <row r="30" spans="1:36">
      <c r="A30" s="3">
        <f t="shared" si="5"/>
        <v>45022</v>
      </c>
      <c r="B30" s="141"/>
      <c r="C30" s="41"/>
      <c r="D30" s="7">
        <f>+D29+VLOOKUP(K29,$N$5:$P$57,3)*(1-Eingabedaten!$D$16-Eingabedaten!$D$17)+((A30-A29)/365)*(Eingabedaten!$D$16+Eingabedaten!$D$17)</f>
        <v>0.90295146537666482</v>
      </c>
      <c r="E30" s="1">
        <f>+Eingabedaten!$D$13+(1+Eingabedaten!$D$15)*Eingabedaten!$D$14/Eingabedaten!$D$10*D30</f>
        <v>3698.579587158019</v>
      </c>
      <c r="F30" s="1">
        <f>+Eingabedaten!$D$13+Eingabedaten!$D$14/Eingabedaten!$D$10*D30</f>
        <v>3346.6496559650159</v>
      </c>
      <c r="G30" s="1">
        <f>+Eingabedaten!$D$13+(1-Eingabedaten!$D$15)*Eingabedaten!$D$14/Eingabedaten!$D$10*D30</f>
        <v>2994.7197247720128</v>
      </c>
      <c r="H30" s="1" t="str">
        <f t="shared" si="9"/>
        <v/>
      </c>
      <c r="I30" s="25">
        <f t="shared" si="0"/>
        <v>123.26021095121884</v>
      </c>
      <c r="J30" s="25">
        <f t="shared" si="2"/>
        <v>0.26021095121883775</v>
      </c>
      <c r="K30" s="1">
        <f t="shared" si="3"/>
        <v>15</v>
      </c>
      <c r="L30" s="1"/>
      <c r="M30" s="8">
        <v>0</v>
      </c>
      <c r="N30" s="30">
        <f t="shared" si="6"/>
        <v>25</v>
      </c>
      <c r="O30" s="31">
        <f>+$X$7/4</f>
        <v>0</v>
      </c>
      <c r="P30" s="31">
        <v>0</v>
      </c>
      <c r="S30" s="1"/>
    </row>
    <row r="31" spans="1:36">
      <c r="A31" s="3">
        <f t="shared" si="5"/>
        <v>45029</v>
      </c>
      <c r="B31" s="141"/>
      <c r="C31" s="41"/>
      <c r="D31" s="7">
        <f>+D30+VLOOKUP(K30,$N$5:$P$57,3)*(1-Eingabedaten!$D$16-Eingabedaten!$D$17)+((A31-A30)/365)*(Eingabedaten!$D$16+Eingabedaten!$D$17)</f>
        <v>0.91403324619858262</v>
      </c>
      <c r="E31" s="1">
        <f>+Eingabedaten!$D$13+(1+Eingabedaten!$D$15)*Eingabedaten!$D$14/Eingabedaten!$D$10*D31</f>
        <v>3724.4946701610238</v>
      </c>
      <c r="F31" s="1">
        <f>+Eingabedaten!$D$13+Eingabedaten!$D$14/Eingabedaten!$D$10*D31</f>
        <v>3368.2455584675199</v>
      </c>
      <c r="G31" s="1">
        <f>+Eingabedaten!$D$13+(1-Eingabedaten!$D$15)*Eingabedaten!$D$14/Eingabedaten!$D$10*D31</f>
        <v>3011.9964467740156</v>
      </c>
      <c r="H31" s="1" t="str">
        <f t="shared" si="9"/>
        <v/>
      </c>
      <c r="I31" s="25">
        <f t="shared" si="0"/>
        <v>123.27937539252883</v>
      </c>
      <c r="J31" s="25">
        <f t="shared" si="2"/>
        <v>0.27937539252883425</v>
      </c>
      <c r="K31" s="1">
        <f t="shared" si="3"/>
        <v>16</v>
      </c>
      <c r="L31" s="1"/>
      <c r="M31" s="8">
        <v>0</v>
      </c>
      <c r="N31" s="30">
        <f t="shared" si="6"/>
        <v>26</v>
      </c>
      <c r="O31" s="31">
        <f>+$X$7/4</f>
        <v>0</v>
      </c>
      <c r="P31" s="31">
        <v>0</v>
      </c>
      <c r="S31" s="1"/>
    </row>
    <row r="32" spans="1:36">
      <c r="A32" s="3">
        <f t="shared" si="5"/>
        <v>45036</v>
      </c>
      <c r="B32" s="141"/>
      <c r="C32" s="41"/>
      <c r="D32" s="7">
        <f>+D31+VLOOKUP(K31,$N$5:$P$57,3)*(1-Eingabedaten!$D$16-Eingabedaten!$D$17)+((A32-A31)/365)*(Eingabedaten!$D$16+Eingabedaten!$D$17)</f>
        <v>0.92412502702050048</v>
      </c>
      <c r="E32" s="1">
        <f>+Eingabedaten!$D$13+(1+Eingabedaten!$D$15)*Eingabedaten!$D$14/Eingabedaten!$D$10*D32</f>
        <v>3748.0946079193009</v>
      </c>
      <c r="F32" s="1">
        <f>+Eingabedaten!$D$13+Eingabedaten!$D$14/Eingabedaten!$D$10*D32</f>
        <v>3387.9121732660842</v>
      </c>
      <c r="G32" s="1">
        <f>+Eingabedaten!$D$13+(1-Eingabedaten!$D$15)*Eingabedaten!$D$14/Eingabedaten!$D$10*D32</f>
        <v>3027.7297386128675</v>
      </c>
      <c r="H32" s="1" t="str">
        <f t="shared" si="9"/>
        <v/>
      </c>
      <c r="I32" s="25">
        <f t="shared" si="0"/>
        <v>123.29853983383882</v>
      </c>
      <c r="J32" s="25">
        <f t="shared" si="2"/>
        <v>0.29853983383881655</v>
      </c>
      <c r="K32" s="1">
        <f t="shared" si="3"/>
        <v>17</v>
      </c>
      <c r="L32" s="1"/>
      <c r="M32" s="8">
        <v>0</v>
      </c>
      <c r="N32" s="30">
        <f t="shared" si="6"/>
        <v>27</v>
      </c>
      <c r="O32" s="31">
        <f>+$X$7/4</f>
        <v>0</v>
      </c>
      <c r="P32" s="31">
        <v>0</v>
      </c>
      <c r="S32" s="1"/>
    </row>
    <row r="33" spans="1:19">
      <c r="A33" s="3">
        <f t="shared" si="5"/>
        <v>45043</v>
      </c>
      <c r="B33" s="141"/>
      <c r="C33" s="41"/>
      <c r="D33" s="7">
        <f>+D32+VLOOKUP(K32,$N$5:$P$57,3)*(1-Eingabedaten!$D$16-Eingabedaten!$D$17)+((A33-A32)/365)*(Eingabedaten!$D$16+Eingabedaten!$D$17)</f>
        <v>0.93322680784241829</v>
      </c>
      <c r="E33" s="1">
        <f>+Eingabedaten!$D$13+(1+Eingabedaten!$D$15)*Eingabedaten!$D$14/Eingabedaten!$D$10*D33</f>
        <v>3769.3794004328506</v>
      </c>
      <c r="F33" s="1">
        <f>+Eingabedaten!$D$13+Eingabedaten!$D$14/Eingabedaten!$D$10*D33</f>
        <v>3405.6495003607088</v>
      </c>
      <c r="G33" s="1">
        <f>+Eingabedaten!$D$13+(1-Eingabedaten!$D$15)*Eingabedaten!$D$14/Eingabedaten!$D$10*D33</f>
        <v>3041.9196002885674</v>
      </c>
      <c r="H33" s="1" t="str">
        <f t="shared" si="9"/>
        <v/>
      </c>
      <c r="I33" s="25">
        <f t="shared" si="0"/>
        <v>123.31770427514881</v>
      </c>
      <c r="J33" s="25">
        <f t="shared" si="2"/>
        <v>0.31770427514881305</v>
      </c>
      <c r="K33" s="1">
        <f t="shared" si="3"/>
        <v>18</v>
      </c>
      <c r="L33" s="1"/>
      <c r="M33" s="8">
        <v>0</v>
      </c>
      <c r="N33" s="30">
        <f t="shared" si="6"/>
        <v>28</v>
      </c>
      <c r="O33" s="31">
        <f>+$X$7/4</f>
        <v>0</v>
      </c>
      <c r="P33" s="31">
        <v>0</v>
      </c>
      <c r="S33" s="1"/>
    </row>
    <row r="34" spans="1:19">
      <c r="A34" s="3">
        <f t="shared" si="5"/>
        <v>45050</v>
      </c>
      <c r="B34" s="141"/>
      <c r="C34" s="41"/>
      <c r="D34" s="7">
        <f>+D33+VLOOKUP(K33,$N$5:$P$57,3)*(1-Eingabedaten!$D$16-Eingabedaten!$D$17)+((A34-A33)/365)*(Eingabedaten!$D$16+Eingabedaten!$D$17)</f>
        <v>0.94034858866433613</v>
      </c>
      <c r="E34" s="1">
        <f>+Eingabedaten!$D$13+(1+Eingabedaten!$D$15)*Eingabedaten!$D$14/Eingabedaten!$D$10*D34</f>
        <v>3786.0339024569457</v>
      </c>
      <c r="F34" s="1">
        <f>+Eingabedaten!$D$13+Eingabedaten!$D$14/Eingabedaten!$D$10*D34</f>
        <v>3419.5282520474548</v>
      </c>
      <c r="G34" s="1">
        <f>+Eingabedaten!$D$13+(1-Eingabedaten!$D$15)*Eingabedaten!$D$14/Eingabedaten!$D$10*D34</f>
        <v>3053.0226016379638</v>
      </c>
      <c r="H34" s="1" t="str">
        <f t="shared" si="9"/>
        <v/>
      </c>
      <c r="I34" s="25">
        <f t="shared" si="0"/>
        <v>123.33686871645881</v>
      </c>
      <c r="J34" s="25">
        <f t="shared" si="2"/>
        <v>0.33686871645880956</v>
      </c>
      <c r="K34" s="1">
        <f t="shared" si="3"/>
        <v>19</v>
      </c>
      <c r="L34" s="1"/>
      <c r="M34" s="8">
        <v>0</v>
      </c>
      <c r="N34" s="30">
        <f t="shared" si="6"/>
        <v>29</v>
      </c>
      <c r="O34" s="31">
        <f>+$Y$7/4</f>
        <v>0</v>
      </c>
      <c r="P34" s="31">
        <v>0</v>
      </c>
      <c r="S34" s="1"/>
    </row>
    <row r="35" spans="1:19">
      <c r="A35" s="3">
        <f t="shared" si="5"/>
        <v>45057</v>
      </c>
      <c r="B35" s="141"/>
      <c r="C35" s="41"/>
      <c r="D35" s="7">
        <f>+D34+VLOOKUP(K34,$N$5:$P$57,3)*(1-Eingabedaten!$D$16-Eingabedaten!$D$17)+((A35-A34)/365)*(Eingabedaten!$D$16+Eingabedaten!$D$17)</f>
        <v>0.94549036948625398</v>
      </c>
      <c r="E35" s="1">
        <f>+Eingabedaten!$D$13+(1+Eingabedaten!$D$15)*Eingabedaten!$D$14/Eingabedaten!$D$10*D35</f>
        <v>3798.0581139915857</v>
      </c>
      <c r="F35" s="1">
        <f>+Eingabedaten!$D$13+Eingabedaten!$D$14/Eingabedaten!$D$10*D35</f>
        <v>3429.5484283263213</v>
      </c>
      <c r="G35" s="1">
        <f>+Eingabedaten!$D$13+(1-Eingabedaten!$D$15)*Eingabedaten!$D$14/Eingabedaten!$D$10*D35</f>
        <v>3061.0387426610573</v>
      </c>
      <c r="H35" s="1" t="str">
        <f t="shared" si="9"/>
        <v/>
      </c>
      <c r="I35" s="25">
        <f t="shared" si="0"/>
        <v>123.35603315776881</v>
      </c>
      <c r="J35" s="25">
        <f t="shared" si="2"/>
        <v>0.35603315776880606</v>
      </c>
      <c r="K35" s="1">
        <f t="shared" si="3"/>
        <v>20</v>
      </c>
      <c r="L35" s="1"/>
      <c r="M35" s="8">
        <v>0</v>
      </c>
      <c r="N35" s="30">
        <f t="shared" si="6"/>
        <v>30</v>
      </c>
      <c r="O35" s="31">
        <f>+$Y$7/4</f>
        <v>0</v>
      </c>
      <c r="P35" s="31">
        <v>0</v>
      </c>
      <c r="S35" s="1"/>
    </row>
    <row r="36" spans="1:19">
      <c r="A36" s="3">
        <f t="shared" si="5"/>
        <v>45064</v>
      </c>
      <c r="B36" s="141"/>
      <c r="C36" s="41"/>
      <c r="D36" s="7">
        <f>+D35+VLOOKUP(K35,$N$5:$P$57,3)*(1-Eingabedaten!$D$16-Eingabedaten!$D$17)+((A36-A35)/365)*(Eingabedaten!$D$16+Eingabedaten!$D$17)</f>
        <v>0.94865215030817185</v>
      </c>
      <c r="E36" s="1">
        <f>+Eingabedaten!$D$13+(1+Eingabedaten!$D$15)*Eingabedaten!$D$14/Eingabedaten!$D$10*D36</f>
        <v>3805.4520350367711</v>
      </c>
      <c r="F36" s="1">
        <f>+Eingabedaten!$D$13+Eingabedaten!$D$14/Eingabedaten!$D$10*D36</f>
        <v>3435.7100291973093</v>
      </c>
      <c r="G36" s="1">
        <f>+Eingabedaten!$D$13+(1-Eingabedaten!$D$15)*Eingabedaten!$D$14/Eingabedaten!$D$10*D36</f>
        <v>3065.9680233578474</v>
      </c>
      <c r="H36" s="1" t="str">
        <f t="shared" si="9"/>
        <v/>
      </c>
      <c r="I36" s="25">
        <f t="shared" si="0"/>
        <v>123.3751975990788</v>
      </c>
      <c r="J36" s="25">
        <f t="shared" si="2"/>
        <v>0.37519759907880257</v>
      </c>
      <c r="K36" s="1">
        <f t="shared" si="3"/>
        <v>21</v>
      </c>
      <c r="L36" s="1"/>
      <c r="M36" s="8">
        <v>0</v>
      </c>
      <c r="N36" s="30">
        <f t="shared" si="6"/>
        <v>31</v>
      </c>
      <c r="O36" s="31">
        <f>+$Y$7/4</f>
        <v>0</v>
      </c>
      <c r="P36" s="31">
        <v>0</v>
      </c>
      <c r="S36" s="1"/>
    </row>
    <row r="37" spans="1:19">
      <c r="A37" s="3">
        <f t="shared" si="5"/>
        <v>45071</v>
      </c>
      <c r="B37" s="141"/>
      <c r="C37" s="41"/>
      <c r="D37" s="7">
        <f>+D36+VLOOKUP(K36,$N$5:$P$57,3)*(1-Eingabedaten!$D$16-Eingabedaten!$D$17)+((A37-A36)/365)*(Eingabedaten!$D$16+Eingabedaten!$D$17)</f>
        <v>0.95082393113008967</v>
      </c>
      <c r="E37" s="1">
        <f>+Eingabedaten!$D$13+(1+Eingabedaten!$D$15)*Eingabedaten!$D$14/Eingabedaten!$D$10*D37</f>
        <v>3810.5308108372287</v>
      </c>
      <c r="F37" s="1">
        <f>+Eingabedaten!$D$13+Eingabedaten!$D$14/Eingabedaten!$D$10*D37</f>
        <v>3439.9423423643575</v>
      </c>
      <c r="G37" s="1">
        <f>+Eingabedaten!$D$13+(1-Eingabedaten!$D$15)*Eingabedaten!$D$14/Eingabedaten!$D$10*D37</f>
        <v>3069.3538738914858</v>
      </c>
      <c r="H37" s="1" t="str">
        <f t="shared" si="9"/>
        <v/>
      </c>
      <c r="I37" s="25">
        <f t="shared" ref="I37:I57" si="10">+A37/365.2598</f>
        <v>123.39436204038878</v>
      </c>
      <c r="J37" s="25">
        <f t="shared" si="2"/>
        <v>0.39436204038878486</v>
      </c>
      <c r="K37" s="1">
        <f t="shared" si="3"/>
        <v>22</v>
      </c>
      <c r="L37" s="1"/>
      <c r="M37" s="8">
        <v>0</v>
      </c>
      <c r="N37" s="30">
        <f t="shared" si="6"/>
        <v>32</v>
      </c>
      <c r="O37" s="31">
        <f>+$Y$7/4</f>
        <v>0</v>
      </c>
      <c r="P37" s="31">
        <v>0</v>
      </c>
      <c r="S37" s="1"/>
    </row>
    <row r="38" spans="1:19">
      <c r="A38" s="3">
        <f t="shared" si="5"/>
        <v>45078</v>
      </c>
      <c r="B38" s="141"/>
      <c r="C38" s="41"/>
      <c r="D38" s="7">
        <f>+D37+VLOOKUP(K37,$N$5:$P$57,3)*(1-Eingabedaten!$D$16-Eingabedaten!$D$17)+((A38-A37)/365)*(Eingabedaten!$D$16+Eingabedaten!$D$17)</f>
        <v>0.95234831512309537</v>
      </c>
      <c r="E38" s="1">
        <f>+Eingabedaten!$D$13+(1+Eingabedaten!$D$15)*Eingabedaten!$D$14/Eingabedaten!$D$10*D38</f>
        <v>3814.0956293751537</v>
      </c>
      <c r="F38" s="1">
        <f>+Eingabedaten!$D$13+Eingabedaten!$D$14/Eingabedaten!$D$10*D38</f>
        <v>3442.913024479295</v>
      </c>
      <c r="G38" s="1">
        <f>+Eingabedaten!$D$13+(1-Eingabedaten!$D$15)*Eingabedaten!$D$14/Eingabedaten!$D$10*D38</f>
        <v>3071.7304195834358</v>
      </c>
      <c r="H38" s="1" t="str">
        <f t="shared" si="9"/>
        <v/>
      </c>
      <c r="I38" s="25">
        <f t="shared" si="10"/>
        <v>123.41352648169878</v>
      </c>
      <c r="J38" s="25">
        <f t="shared" si="2"/>
        <v>0.41352648169878137</v>
      </c>
      <c r="K38" s="1">
        <f t="shared" si="3"/>
        <v>23</v>
      </c>
      <c r="L38" s="1"/>
      <c r="M38" s="8">
        <v>0</v>
      </c>
      <c r="N38" s="30">
        <f t="shared" si="6"/>
        <v>33</v>
      </c>
      <c r="O38" s="31">
        <f>+$Z$7/4</f>
        <v>0</v>
      </c>
      <c r="P38" s="31">
        <v>0</v>
      </c>
      <c r="S38" s="1"/>
    </row>
    <row r="39" spans="1:19">
      <c r="A39" s="3">
        <f t="shared" si="5"/>
        <v>45085</v>
      </c>
      <c r="B39" s="141"/>
      <c r="C39" s="41"/>
      <c r="D39" s="7">
        <f>+D38+VLOOKUP(K38,$N$5:$P$57,3)*(1-Eingabedaten!$D$16-Eingabedaten!$D$17)+((A39-A38)/365)*(Eingabedaten!$D$16+Eingabedaten!$D$17)</f>
        <v>0.95255080998174113</v>
      </c>
      <c r="E39" s="1">
        <f>+Eingabedaten!$D$13+(1+Eingabedaten!$D$15)*Eingabedaten!$D$14/Eingabedaten!$D$10*D39</f>
        <v>3814.5691697883613</v>
      </c>
      <c r="F39" s="1">
        <f>+Eingabedaten!$D$13+Eingabedaten!$D$14/Eingabedaten!$D$10*D39</f>
        <v>3443.3076414903012</v>
      </c>
      <c r="G39" s="1">
        <f>+Eingabedaten!$D$13+(1-Eingabedaten!$D$15)*Eingabedaten!$D$14/Eingabedaten!$D$10*D39</f>
        <v>3072.0461131922411</v>
      </c>
      <c r="H39" s="1" t="str">
        <f t="shared" si="9"/>
        <v/>
      </c>
      <c r="I39" s="25">
        <f t="shared" si="10"/>
        <v>123.43269092300878</v>
      </c>
      <c r="J39" s="25">
        <f t="shared" si="2"/>
        <v>0.43269092300877787</v>
      </c>
      <c r="K39" s="1">
        <f t="shared" si="3"/>
        <v>23</v>
      </c>
      <c r="L39" s="1"/>
      <c r="M39" s="8">
        <v>0</v>
      </c>
      <c r="N39" s="30">
        <f t="shared" ref="N39:N57" si="11">+N38+1</f>
        <v>34</v>
      </c>
      <c r="O39" s="31">
        <f>+$Z$7/4</f>
        <v>0</v>
      </c>
      <c r="P39" s="31">
        <v>0</v>
      </c>
      <c r="S39" s="1"/>
    </row>
    <row r="40" spans="1:19">
      <c r="A40" s="3">
        <f t="shared" si="5"/>
        <v>45092</v>
      </c>
      <c r="B40" s="141"/>
      <c r="C40" s="41"/>
      <c r="D40" s="7">
        <f>+D39+VLOOKUP(K39,$N$5:$P$57,3)*(1-Eingabedaten!$D$16-Eingabedaten!$D$17)+((A40-A39)/365)*(Eingabedaten!$D$16+Eingabedaten!$D$17)</f>
        <v>0.95275330484038689</v>
      </c>
      <c r="E40" s="1">
        <f>+Eingabedaten!$D$13+(1+Eingabedaten!$D$15)*Eingabedaten!$D$14/Eingabedaten!$D$10*D40</f>
        <v>3815.0427102015692</v>
      </c>
      <c r="F40" s="1">
        <f>+Eingabedaten!$D$13+Eingabedaten!$D$14/Eingabedaten!$D$10*D40</f>
        <v>3443.7022585013074</v>
      </c>
      <c r="G40" s="1">
        <f>+Eingabedaten!$D$13+(1-Eingabedaten!$D$15)*Eingabedaten!$D$14/Eingabedaten!$D$10*D40</f>
        <v>3072.361806801046</v>
      </c>
      <c r="H40" s="1" t="str">
        <f t="shared" si="9"/>
        <v/>
      </c>
      <c r="I40" s="25">
        <f t="shared" si="10"/>
        <v>123.45185536431877</v>
      </c>
      <c r="J40" s="25">
        <f t="shared" si="2"/>
        <v>0.45185536431877438</v>
      </c>
      <c r="K40" s="1">
        <f t="shared" si="3"/>
        <v>24</v>
      </c>
      <c r="L40" s="1"/>
      <c r="M40" s="8">
        <v>0</v>
      </c>
      <c r="N40" s="30">
        <f t="shared" si="11"/>
        <v>35</v>
      </c>
      <c r="O40" s="31">
        <f>+$Z$7/4</f>
        <v>0</v>
      </c>
      <c r="P40" s="31">
        <v>0</v>
      </c>
      <c r="S40" s="1"/>
    </row>
    <row r="41" spans="1:19">
      <c r="A41" s="3">
        <f t="shared" si="5"/>
        <v>45099</v>
      </c>
      <c r="B41" s="141"/>
      <c r="C41" s="41"/>
      <c r="D41" s="7">
        <f>+D40+VLOOKUP(K40,$N$5:$P$57,3)*(1-Eingabedaten!$D$16-Eingabedaten!$D$17)+((A41-A40)/365)*(Eingabedaten!$D$16+Eingabedaten!$D$17)</f>
        <v>0.95294508566230474</v>
      </c>
      <c r="E41" s="1">
        <f>+Eingabedaten!$D$13+(1+Eingabedaten!$D$15)*Eingabedaten!$D$14/Eingabedaten!$D$10*D41</f>
        <v>3815.4911955125722</v>
      </c>
      <c r="F41" s="1">
        <f>+Eingabedaten!$D$13+Eingabedaten!$D$14/Eingabedaten!$D$10*D41</f>
        <v>3444.0759962604766</v>
      </c>
      <c r="G41" s="1">
        <f>+Eingabedaten!$D$13+(1-Eingabedaten!$D$15)*Eingabedaten!$D$14/Eingabedaten!$D$10*D41</f>
        <v>3072.6607970083815</v>
      </c>
      <c r="H41" s="1" t="str">
        <f t="shared" si="9"/>
        <v/>
      </c>
      <c r="I41" s="25">
        <f t="shared" si="10"/>
        <v>123.47101980562877</v>
      </c>
      <c r="J41" s="25">
        <f t="shared" si="2"/>
        <v>0.47101980562877088</v>
      </c>
      <c r="K41" s="1">
        <f t="shared" si="3"/>
        <v>25</v>
      </c>
      <c r="L41" s="1"/>
      <c r="M41" s="8">
        <v>1.184847111543208E-3</v>
      </c>
      <c r="N41" s="30">
        <f t="shared" si="11"/>
        <v>36</v>
      </c>
      <c r="O41" s="31">
        <f>+$Z$7/4</f>
        <v>0</v>
      </c>
      <c r="P41" s="31">
        <v>1.184847111543208E-3</v>
      </c>
      <c r="S41" s="1"/>
    </row>
    <row r="42" spans="1:19">
      <c r="A42" s="3">
        <f t="shared" si="5"/>
        <v>45106</v>
      </c>
      <c r="B42" s="141"/>
      <c r="C42" s="41"/>
      <c r="D42" s="7">
        <f>+D41+VLOOKUP(K41,$N$5:$P$57,3)*(1-Eingabedaten!$D$16-Eingabedaten!$D$17)+((A42-A41)/365)*(Eingabedaten!$D$16+Eingabedaten!$D$17)</f>
        <v>0.95313686648422258</v>
      </c>
      <c r="E42" s="1">
        <f>+Eingabedaten!$D$13+(1+Eingabedaten!$D$15)*Eingabedaten!$D$14/Eingabedaten!$D$10*D42</f>
        <v>3815.9396808235751</v>
      </c>
      <c r="F42" s="1">
        <f>+Eingabedaten!$D$13+Eingabedaten!$D$14/Eingabedaten!$D$10*D42</f>
        <v>3444.4497340196458</v>
      </c>
      <c r="G42" s="1">
        <f>+Eingabedaten!$D$13+(1-Eingabedaten!$D$15)*Eingabedaten!$D$14/Eingabedaten!$D$10*D42</f>
        <v>3072.9597872157169</v>
      </c>
      <c r="H42" s="1" t="str">
        <f t="shared" si="9"/>
        <v/>
      </c>
      <c r="I42" s="25">
        <f t="shared" si="10"/>
        <v>123.49018424693875</v>
      </c>
      <c r="J42" s="25">
        <f t="shared" si="2"/>
        <v>0.49018424693875318</v>
      </c>
      <c r="K42" s="1">
        <f t="shared" si="3"/>
        <v>26</v>
      </c>
      <c r="L42" s="1"/>
      <c r="M42" s="8">
        <v>3.5594261560228935E-3</v>
      </c>
      <c r="N42" s="30">
        <f t="shared" si="11"/>
        <v>37</v>
      </c>
      <c r="O42" s="31">
        <f>+$Z$7/4</f>
        <v>0</v>
      </c>
      <c r="P42" s="31">
        <v>3.5594261560228935E-3</v>
      </c>
      <c r="S42" s="1"/>
    </row>
    <row r="43" spans="1:19">
      <c r="A43" s="3">
        <f t="shared" si="5"/>
        <v>45113</v>
      </c>
      <c r="B43" s="141"/>
      <c r="C43" s="41"/>
      <c r="D43" s="7">
        <f>+D42+VLOOKUP(K42,$N$5:$P$57,3)*(1-Eingabedaten!$D$16-Eingabedaten!$D$17)+((A43-A42)/365)*(Eingabedaten!$D$16+Eingabedaten!$D$17)</f>
        <v>0.95332864730614042</v>
      </c>
      <c r="E43" s="1">
        <f>+Eingabedaten!$D$13+(1+Eingabedaten!$D$15)*Eingabedaten!$D$14/Eingabedaten!$D$10*D43</f>
        <v>3816.3881661345781</v>
      </c>
      <c r="F43" s="1">
        <f>+Eingabedaten!$D$13+Eingabedaten!$D$14/Eingabedaten!$D$10*D43</f>
        <v>3444.823471778815</v>
      </c>
      <c r="G43" s="1">
        <f>+Eingabedaten!$D$13+(1-Eingabedaten!$D$15)*Eingabedaten!$D$14/Eingabedaten!$D$10*D43</f>
        <v>3073.2587774230524</v>
      </c>
      <c r="H43" s="1" t="str">
        <f t="shared" si="9"/>
        <v/>
      </c>
      <c r="I43" s="25">
        <f t="shared" si="10"/>
        <v>123.50934868824875</v>
      </c>
      <c r="J43" s="25">
        <f t="shared" si="2"/>
        <v>0.50934868824874968</v>
      </c>
      <c r="K43" s="1">
        <f t="shared" si="3"/>
        <v>27</v>
      </c>
      <c r="L43" s="1"/>
      <c r="M43" s="8">
        <v>6.1435509689058421E-3</v>
      </c>
      <c r="N43" s="30">
        <f t="shared" si="11"/>
        <v>38</v>
      </c>
      <c r="O43" s="31">
        <f>+$AA$7/4</f>
        <v>1.6796875000000003E-2</v>
      </c>
      <c r="P43" s="31">
        <v>6.1435509689058421E-3</v>
      </c>
      <c r="S43" s="1"/>
    </row>
    <row r="44" spans="1:19">
      <c r="A44" s="3">
        <f t="shared" si="5"/>
        <v>45120</v>
      </c>
      <c r="B44" s="141"/>
      <c r="C44" s="41"/>
      <c r="D44" s="7">
        <f>+D43+VLOOKUP(K43,$N$5:$P$57,3)*(1-Eingabedaten!$D$16-Eingabedaten!$D$17)+((A44-A43)/365)*(Eingabedaten!$D$16+Eingabedaten!$D$17)</f>
        <v>0.95352042812805826</v>
      </c>
      <c r="E44" s="1">
        <f>+Eingabedaten!$D$13+(1+Eingabedaten!$D$15)*Eingabedaten!$D$14/Eingabedaten!$D$10*D44</f>
        <v>3816.8366514455811</v>
      </c>
      <c r="F44" s="1">
        <f>+Eingabedaten!$D$13+Eingabedaten!$D$14/Eingabedaten!$D$10*D44</f>
        <v>3445.1972095379842</v>
      </c>
      <c r="G44" s="1">
        <f>+Eingabedaten!$D$13+(1-Eingabedaten!$D$15)*Eingabedaten!$D$14/Eingabedaten!$D$10*D44</f>
        <v>3073.5577676303874</v>
      </c>
      <c r="H44" s="1" t="str">
        <f t="shared" si="9"/>
        <v/>
      </c>
      <c r="I44" s="25">
        <f t="shared" si="10"/>
        <v>123.52851312955875</v>
      </c>
      <c r="J44" s="25">
        <f t="shared" si="2"/>
        <v>0.52851312955874619</v>
      </c>
      <c r="K44" s="1">
        <f t="shared" si="3"/>
        <v>28</v>
      </c>
      <c r="L44" s="1"/>
      <c r="M44" s="8">
        <v>8.899744962687306E-3</v>
      </c>
      <c r="N44" s="30">
        <f t="shared" si="11"/>
        <v>39</v>
      </c>
      <c r="O44" s="31">
        <f>+$AA$7/4</f>
        <v>1.6796875000000003E-2</v>
      </c>
      <c r="P44" s="31">
        <v>8.899744962687306E-3</v>
      </c>
      <c r="S44" s="1"/>
    </row>
    <row r="45" spans="1:19">
      <c r="A45" s="3">
        <f t="shared" si="5"/>
        <v>45127</v>
      </c>
      <c r="B45" s="141"/>
      <c r="C45" s="41"/>
      <c r="D45" s="7">
        <f>+D44+VLOOKUP(K44,$N$5:$P$57,3)*(1-Eingabedaten!$D$16-Eingabedaten!$D$17)+((A45-A44)/365)*(Eingabedaten!$D$16+Eingabedaten!$D$17)</f>
        <v>0.9537122089499761</v>
      </c>
      <c r="E45" s="1">
        <f>+Eingabedaten!$D$13+(1+Eingabedaten!$D$15)*Eingabedaten!$D$14/Eingabedaten!$D$10*D45</f>
        <v>3817.2851367565841</v>
      </c>
      <c r="F45" s="1">
        <f>+Eingabedaten!$D$13+Eingabedaten!$D$14/Eingabedaten!$D$10*D45</f>
        <v>3445.5709472971535</v>
      </c>
      <c r="G45" s="1">
        <f>+Eingabedaten!$D$13+(1-Eingabedaten!$D$15)*Eingabedaten!$D$14/Eingabedaten!$D$10*D45</f>
        <v>3073.8567578377229</v>
      </c>
      <c r="H45" s="1" t="str">
        <f t="shared" si="9"/>
        <v/>
      </c>
      <c r="I45" s="25">
        <f t="shared" si="10"/>
        <v>123.54767757086874</v>
      </c>
      <c r="J45" s="25">
        <f t="shared" si="2"/>
        <v>0.54767757086874269</v>
      </c>
      <c r="K45" s="1">
        <f t="shared" si="3"/>
        <v>29</v>
      </c>
      <c r="L45" s="1"/>
      <c r="M45" s="8">
        <v>1.1788036095431997E-2</v>
      </c>
      <c r="N45" s="30">
        <f t="shared" si="11"/>
        <v>40</v>
      </c>
      <c r="O45" s="31">
        <f>+$AA$7/4</f>
        <v>1.6796875000000003E-2</v>
      </c>
      <c r="P45" s="31">
        <v>1.1788036095431997E-2</v>
      </c>
      <c r="S45" s="1"/>
    </row>
    <row r="46" spans="1:19">
      <c r="A46" s="3">
        <f t="shared" si="5"/>
        <v>45134</v>
      </c>
      <c r="B46" s="141"/>
      <c r="C46" s="41"/>
      <c r="D46" s="7">
        <f>+D45+VLOOKUP(K45,$N$5:$P$57,3)*(1-Eingabedaten!$D$16-Eingabedaten!$D$17)+((A46-A45)/365)*(Eingabedaten!$D$16+Eingabedaten!$D$17)</f>
        <v>0.95390398977189395</v>
      </c>
      <c r="E46" s="1">
        <f>+Eingabedaten!$D$13+(1+Eingabedaten!$D$15)*Eingabedaten!$D$14/Eingabedaten!$D$10*D46</f>
        <v>3817.7336220675875</v>
      </c>
      <c r="F46" s="1">
        <f>+Eingabedaten!$D$13+Eingabedaten!$D$14/Eingabedaten!$D$10*D46</f>
        <v>3445.9446850563227</v>
      </c>
      <c r="G46" s="1">
        <f>+Eingabedaten!$D$13+(1-Eingabedaten!$D$15)*Eingabedaten!$D$14/Eingabedaten!$D$10*D46</f>
        <v>3074.1557480450583</v>
      </c>
      <c r="H46" s="1" t="str">
        <f t="shared" si="9"/>
        <v/>
      </c>
      <c r="I46" s="25">
        <f t="shared" si="10"/>
        <v>123.56684201217874</v>
      </c>
      <c r="J46" s="25">
        <f t="shared" si="2"/>
        <v>0.5668420121787392</v>
      </c>
      <c r="K46" s="1">
        <f t="shared" si="3"/>
        <v>30</v>
      </c>
      <c r="L46" s="1"/>
      <c r="M46" s="8">
        <v>1.4766536570220978E-2</v>
      </c>
      <c r="N46" s="30">
        <f t="shared" si="11"/>
        <v>41</v>
      </c>
      <c r="O46" s="31">
        <f>+$AA$7/4</f>
        <v>1.6796875000000003E-2</v>
      </c>
      <c r="P46" s="31">
        <v>1.4766536570220978E-2</v>
      </c>
      <c r="S46" s="1"/>
    </row>
    <row r="47" spans="1:19">
      <c r="A47" s="3">
        <f t="shared" si="5"/>
        <v>45141</v>
      </c>
      <c r="B47" s="141"/>
      <c r="C47" s="41"/>
      <c r="D47" s="7">
        <f>+D46+VLOOKUP(K46,$N$5:$P$57,3)*(1-Eingabedaten!$D$16-Eingabedaten!$D$17)+((A47-A46)/365)*(Eingabedaten!$D$16+Eingabedaten!$D$17)</f>
        <v>0.95409577059381179</v>
      </c>
      <c r="E47" s="1">
        <f>+Eingabedaten!$D$13+(1+Eingabedaten!$D$15)*Eingabedaten!$D$14/Eingabedaten!$D$10*D47</f>
        <v>3818.1821073785904</v>
      </c>
      <c r="F47" s="1">
        <f>+Eingabedaten!$D$13+Eingabedaten!$D$14/Eingabedaten!$D$10*D47</f>
        <v>3446.3184228154919</v>
      </c>
      <c r="G47" s="1">
        <f>+Eingabedaten!$D$13+(1-Eingabedaten!$D$15)*Eingabedaten!$D$14/Eingabedaten!$D$10*D47</f>
        <v>3074.4547382523933</v>
      </c>
      <c r="H47" s="1" t="str">
        <f t="shared" si="9"/>
        <v/>
      </c>
      <c r="I47" s="25">
        <f t="shared" si="10"/>
        <v>123.58600645348872</v>
      </c>
      <c r="J47" s="25">
        <f t="shared" si="2"/>
        <v>0.58600645348872149</v>
      </c>
      <c r="K47" s="1">
        <f t="shared" si="3"/>
        <v>31</v>
      </c>
      <c r="L47" s="1"/>
      <c r="M47" s="8">
        <v>1.7792050318072294E-2</v>
      </c>
      <c r="N47" s="30">
        <f t="shared" si="11"/>
        <v>42</v>
      </c>
      <c r="O47" s="31">
        <f>+$AA$7/4</f>
        <v>1.6796875000000003E-2</v>
      </c>
      <c r="P47" s="31">
        <v>1.7792050318072294E-2</v>
      </c>
      <c r="S47" s="1"/>
    </row>
    <row r="48" spans="1:19">
      <c r="A48" s="3">
        <f t="shared" si="5"/>
        <v>45148</v>
      </c>
      <c r="B48" s="141"/>
      <c r="C48" s="41"/>
      <c r="D48" s="7">
        <f>+D47+VLOOKUP(K47,$N$5:$P$57,3)*(1-Eingabedaten!$D$16-Eingabedaten!$D$17)+((A48-A47)/365)*(Eingabedaten!$D$16+Eingabedaten!$D$17)</f>
        <v>0.95428755141572963</v>
      </c>
      <c r="E48" s="1">
        <f>+Eingabedaten!$D$13+(1+Eingabedaten!$D$15)*Eingabedaten!$D$14/Eingabedaten!$D$10*D48</f>
        <v>3818.6305926895934</v>
      </c>
      <c r="F48" s="1">
        <f>+Eingabedaten!$D$13+Eingabedaten!$D$14/Eingabedaten!$D$10*D48</f>
        <v>3446.6921605746611</v>
      </c>
      <c r="G48" s="1">
        <f>+Eingabedaten!$D$13+(1-Eingabedaten!$D$15)*Eingabedaten!$D$14/Eingabedaten!$D$10*D48</f>
        <v>3074.7537284597292</v>
      </c>
      <c r="H48" s="1" t="str">
        <f t="shared" si="9"/>
        <v/>
      </c>
      <c r="I48" s="25">
        <f t="shared" si="10"/>
        <v>123.60517089479872</v>
      </c>
      <c r="J48" s="25">
        <f t="shared" si="2"/>
        <v>0.605170894798718</v>
      </c>
      <c r="K48" s="1">
        <f t="shared" si="3"/>
        <v>32</v>
      </c>
      <c r="L48" s="1"/>
      <c r="M48" s="8">
        <v>2.0820699454236702E-2</v>
      </c>
      <c r="N48" s="30">
        <f t="shared" si="11"/>
        <v>43</v>
      </c>
      <c r="O48" s="31">
        <f>+$AB$7/4</f>
        <v>3.6328125000000003E-2</v>
      </c>
      <c r="P48" s="31">
        <v>2.1999999999999999E-2</v>
      </c>
      <c r="S48" s="1"/>
    </row>
    <row r="49" spans="1:19">
      <c r="A49" s="3">
        <f t="shared" si="5"/>
        <v>45155</v>
      </c>
      <c r="B49" s="141"/>
      <c r="C49" s="41"/>
      <c r="D49" s="7">
        <f>+D48+VLOOKUP(K48,$N$5:$P$57,3)*(1-Eingabedaten!$D$16-Eingabedaten!$D$17)+((A49-A48)/365)*(Eingabedaten!$D$16+Eingabedaten!$D$17)</f>
        <v>0.95447933223764747</v>
      </c>
      <c r="E49" s="1">
        <f>+Eingabedaten!$D$13+(1+Eingabedaten!$D$15)*Eingabedaten!$D$14/Eingabedaten!$D$10*D49</f>
        <v>3819.0790780005964</v>
      </c>
      <c r="F49" s="1">
        <f>+Eingabedaten!$D$13+Eingabedaten!$D$14/Eingabedaten!$D$10*D49</f>
        <v>3447.0658983338303</v>
      </c>
      <c r="G49" s="1">
        <f>+Eingabedaten!$D$13+(1-Eingabedaten!$D$15)*Eingabedaten!$D$14/Eingabedaten!$D$10*D49</f>
        <v>3075.0527186670643</v>
      </c>
      <c r="H49" s="1" t="str">
        <f t="shared" si="9"/>
        <v/>
      </c>
      <c r="I49" s="25">
        <f t="shared" si="10"/>
        <v>123.62433533610871</v>
      </c>
      <c r="J49" s="25">
        <f t="shared" si="2"/>
        <v>0.6243353361087145</v>
      </c>
      <c r="K49" s="1">
        <f t="shared" si="3"/>
        <v>33</v>
      </c>
      <c r="L49" s="1"/>
      <c r="M49" s="8">
        <v>2.3808560622610608E-2</v>
      </c>
      <c r="N49" s="30">
        <f t="shared" si="11"/>
        <v>44</v>
      </c>
      <c r="O49" s="31">
        <f>+$AB$7/4</f>
        <v>3.6328125000000003E-2</v>
      </c>
      <c r="P49" s="31">
        <v>2.9000000000000001E-2</v>
      </c>
      <c r="S49" s="1"/>
    </row>
    <row r="50" spans="1:19">
      <c r="A50" s="3">
        <f t="shared" si="5"/>
        <v>45162</v>
      </c>
      <c r="B50" s="141"/>
      <c r="C50" s="41"/>
      <c r="D50" s="7">
        <f>+D49+VLOOKUP(K49,$N$5:$P$57,3)*(1-Eingabedaten!$D$16-Eingabedaten!$D$17)+((A50-A49)/365)*(Eingabedaten!$D$16+Eingabedaten!$D$17)</f>
        <v>0.95467111305956531</v>
      </c>
      <c r="E50" s="1">
        <f>+Eingabedaten!$D$13+(1+Eingabedaten!$D$15)*Eingabedaten!$D$14/Eingabedaten!$D$10*D50</f>
        <v>3819.5275633115994</v>
      </c>
      <c r="F50" s="1">
        <f>+Eingabedaten!$D$13+Eingabedaten!$D$14/Eingabedaten!$D$10*D50</f>
        <v>3447.4396360929995</v>
      </c>
      <c r="G50" s="1">
        <f>+Eingabedaten!$D$13+(1-Eingabedaten!$D$15)*Eingabedaten!$D$14/Eingabedaten!$D$10*D50</f>
        <v>3075.3517088743997</v>
      </c>
      <c r="H50" s="1" t="str">
        <f t="shared" si="9"/>
        <v/>
      </c>
      <c r="I50" s="25">
        <f t="shared" si="10"/>
        <v>123.64349977741871</v>
      </c>
      <c r="J50" s="25">
        <f t="shared" si="2"/>
        <v>0.64349977741871101</v>
      </c>
      <c r="K50" s="1">
        <f t="shared" si="3"/>
        <v>34</v>
      </c>
      <c r="L50" s="1"/>
      <c r="M50" s="8">
        <v>2.6712301999603949E-2</v>
      </c>
      <c r="N50" s="30">
        <f t="shared" si="11"/>
        <v>45</v>
      </c>
      <c r="O50" s="31">
        <f>+$AB$7/4</f>
        <v>3.6328125000000003E-2</v>
      </c>
      <c r="P50" s="31">
        <v>3.5000000000000003E-2</v>
      </c>
      <c r="S50" s="1"/>
    </row>
    <row r="51" spans="1:19">
      <c r="A51" s="3">
        <f t="shared" si="5"/>
        <v>45169</v>
      </c>
      <c r="B51" s="141"/>
      <c r="C51" s="41"/>
      <c r="D51" s="7">
        <f>+D50+VLOOKUP(K50,$N$5:$P$57,3)*(1-Eingabedaten!$D$16-Eingabedaten!$D$17)+((A51-A50)/365)*(Eingabedaten!$D$16+Eingabedaten!$D$17)</f>
        <v>0.95486289388148315</v>
      </c>
      <c r="E51" s="1">
        <f>+Eingabedaten!$D$13+(1+Eingabedaten!$D$15)*Eingabedaten!$D$14/Eingabedaten!$D$10*D51</f>
        <v>3819.9760486226023</v>
      </c>
      <c r="F51" s="1">
        <f>+Eingabedaten!$D$13+Eingabedaten!$D$14/Eingabedaten!$D$10*D51</f>
        <v>3447.8133738521683</v>
      </c>
      <c r="G51" s="1">
        <f>+Eingabedaten!$D$13+(1-Eingabedaten!$D$15)*Eingabedaten!$D$14/Eingabedaten!$D$10*D51</f>
        <v>3075.6506990817352</v>
      </c>
      <c r="H51" s="1" t="str">
        <f t="shared" si="9"/>
        <v/>
      </c>
      <c r="I51" s="25">
        <f t="shared" si="10"/>
        <v>123.66266421872871</v>
      </c>
      <c r="J51" s="25">
        <f t="shared" si="2"/>
        <v>0.66266421872870751</v>
      </c>
      <c r="K51" s="1">
        <f t="shared" si="3"/>
        <v>35</v>
      </c>
      <c r="L51" s="1"/>
      <c r="M51" s="8">
        <v>2.9489811719232262E-2</v>
      </c>
      <c r="N51" s="30">
        <f t="shared" si="11"/>
        <v>46</v>
      </c>
      <c r="O51" s="31">
        <f>+$AB$7/4</f>
        <v>3.6328125000000003E-2</v>
      </c>
      <c r="P51" s="31">
        <v>4.2000000000000003E-2</v>
      </c>
      <c r="S51" s="1"/>
    </row>
    <row r="52" spans="1:19">
      <c r="A52" s="3">
        <f t="shared" si="5"/>
        <v>45176</v>
      </c>
      <c r="B52" s="141"/>
      <c r="C52" s="41"/>
      <c r="D52" s="7">
        <f>+D51+VLOOKUP(K51,$N$5:$P$57,3)*(1-Eingabedaten!$D$16-Eingabedaten!$D$17)+((A52-A51)/365)*(Eingabedaten!$D$16+Eingabedaten!$D$17)</f>
        <v>0.955054674703401</v>
      </c>
      <c r="E52" s="1">
        <f>+Eingabedaten!$D$13+(1+Eingabedaten!$D$15)*Eingabedaten!$D$14/Eingabedaten!$D$10*D52</f>
        <v>3820.4245339336053</v>
      </c>
      <c r="F52" s="1">
        <f>+Eingabedaten!$D$13+Eingabedaten!$D$14/Eingabedaten!$D$10*D52</f>
        <v>3448.187111611338</v>
      </c>
      <c r="G52" s="1">
        <f>+Eingabedaten!$D$13+(1-Eingabedaten!$D$15)*Eingabedaten!$D$14/Eingabedaten!$D$10*D52</f>
        <v>3075.9496892890702</v>
      </c>
      <c r="H52" s="1" t="str">
        <f t="shared" si="9"/>
        <v/>
      </c>
      <c r="I52" s="25">
        <f t="shared" si="10"/>
        <v>123.68182866003869</v>
      </c>
      <c r="J52" s="25">
        <f t="shared" si="2"/>
        <v>0.6818286600386898</v>
      </c>
      <c r="K52" s="1">
        <f t="shared" si="3"/>
        <v>36</v>
      </c>
      <c r="L52" s="1"/>
      <c r="M52" s="8">
        <v>3.2100808605628584E-2</v>
      </c>
      <c r="N52" s="30">
        <f t="shared" si="11"/>
        <v>47</v>
      </c>
      <c r="O52" s="31">
        <f>+$AB$7/4</f>
        <v>3.6328125000000003E-2</v>
      </c>
      <c r="P52" s="31">
        <v>4.8000000000000001E-2</v>
      </c>
      <c r="S52" s="1"/>
    </row>
    <row r="53" spans="1:19">
      <c r="A53" s="3">
        <f t="shared" si="5"/>
        <v>45183</v>
      </c>
      <c r="B53" s="141"/>
      <c r="C53" s="41"/>
      <c r="D53" s="7">
        <f>+D52+VLOOKUP(K52,$N$5:$P$57,3)*(1-Eingabedaten!$D$16-Eingabedaten!$D$17)+((A53-A52)/365)*(Eingabedaten!$D$16+Eingabedaten!$D$17)</f>
        <v>0.95641945416574659</v>
      </c>
      <c r="E53" s="1">
        <f>+Eingabedaten!$D$13+(1+Eingabedaten!$D$15)*Eingabedaten!$D$14/Eingabedaten!$D$10*D53</f>
        <v>3823.6161124006267</v>
      </c>
      <c r="F53" s="1">
        <f>+Eingabedaten!$D$13+Eingabedaten!$D$14/Eingabedaten!$D$10*D53</f>
        <v>3450.8467603338559</v>
      </c>
      <c r="G53" s="1">
        <f>+Eingabedaten!$D$13+(1-Eingabedaten!$D$15)*Eingabedaten!$D$14/Eingabedaten!$D$10*D53</f>
        <v>3078.0774082670846</v>
      </c>
      <c r="H53" s="1" t="str">
        <f t="shared" si="9"/>
        <v/>
      </c>
      <c r="I53" s="25">
        <f t="shared" si="10"/>
        <v>123.70099310134869</v>
      </c>
      <c r="J53" s="25">
        <f t="shared" si="2"/>
        <v>0.70099310134868631</v>
      </c>
      <c r="K53" s="1">
        <f t="shared" si="3"/>
        <v>37</v>
      </c>
      <c r="L53" s="1"/>
      <c r="M53" s="8">
        <v>3.5499999999999997E-2</v>
      </c>
      <c r="N53" s="30">
        <f t="shared" si="11"/>
        <v>48</v>
      </c>
      <c r="O53" s="31">
        <f>+$AC$7/4</f>
        <v>5.3515624999999997E-2</v>
      </c>
      <c r="P53" s="31">
        <v>0.05</v>
      </c>
      <c r="S53" s="1"/>
    </row>
    <row r="54" spans="1:19">
      <c r="A54" s="3">
        <f t="shared" si="5"/>
        <v>45190</v>
      </c>
      <c r="B54" s="141"/>
      <c r="C54" s="41"/>
      <c r="D54" s="7">
        <f>+D53+VLOOKUP(K53,$N$5:$P$57,3)*(1-Eingabedaten!$D$16-Eingabedaten!$D$17)+((A54-A53)/365)*(Eingabedaten!$D$16+Eingabedaten!$D$17)</f>
        <v>0.96013506688212713</v>
      </c>
      <c r="E54" s="1">
        <f>+Eingabedaten!$D$13+(1+Eingabedaten!$D$15)*Eingabedaten!$D$14/Eingabedaten!$D$10*D54</f>
        <v>3832.3051862507045</v>
      </c>
      <c r="F54" s="1">
        <f>+Eingabedaten!$D$13+Eingabedaten!$D$14/Eingabedaten!$D$10*D54</f>
        <v>3458.0876552089203</v>
      </c>
      <c r="G54" s="1">
        <f>+Eingabedaten!$D$13+(1-Eingabedaten!$D$15)*Eingabedaten!$D$14/Eingabedaten!$D$10*D54</f>
        <v>3083.8701241671365</v>
      </c>
      <c r="H54" s="1" t="str">
        <f t="shared" si="9"/>
        <v/>
      </c>
      <c r="I54" s="25">
        <f t="shared" si="10"/>
        <v>123.72015754265868</v>
      </c>
      <c r="J54" s="25">
        <f t="shared" si="2"/>
        <v>0.72015754265868281</v>
      </c>
      <c r="K54" s="1">
        <f t="shared" si="3"/>
        <v>38</v>
      </c>
      <c r="L54" s="1"/>
      <c r="M54" s="8">
        <v>3.7999999999999999E-2</v>
      </c>
      <c r="N54" s="30">
        <f t="shared" si="11"/>
        <v>49</v>
      </c>
      <c r="O54" s="31">
        <f>+$AC$7/4</f>
        <v>5.3515624999999997E-2</v>
      </c>
      <c r="P54" s="31">
        <v>5.0999999999999997E-2</v>
      </c>
      <c r="S54" s="1"/>
    </row>
    <row r="55" spans="1:19">
      <c r="A55" s="3">
        <f t="shared" si="5"/>
        <v>45197</v>
      </c>
      <c r="B55" s="141"/>
      <c r="C55" s="41"/>
      <c r="D55" s="7">
        <f>+D54+VLOOKUP(K54,$N$5:$P$57,3)*(1-Eingabedaten!$D$16-Eingabedaten!$D$17)+((A55-A54)/365)*(Eingabedaten!$D$16+Eingabedaten!$D$17)</f>
        <v>0.96640896316326175</v>
      </c>
      <c r="E55" s="1">
        <f>+Eingabedaten!$D$13+(1+Eingabedaten!$D$15)*Eingabedaten!$D$14/Eingabedaten!$D$10*D55</f>
        <v>3846.9768843731104</v>
      </c>
      <c r="F55" s="1">
        <f>+Eingabedaten!$D$13+Eingabedaten!$D$14/Eingabedaten!$D$10*D55</f>
        <v>3470.3140703109257</v>
      </c>
      <c r="G55" s="1">
        <f>+Eingabedaten!$D$13+(1-Eingabedaten!$D$15)*Eingabedaten!$D$14/Eingabedaten!$D$10*D55</f>
        <v>3093.6512562487405</v>
      </c>
      <c r="H55" s="1" t="str">
        <f t="shared" si="9"/>
        <v/>
      </c>
      <c r="I55" s="25">
        <f t="shared" si="10"/>
        <v>123.73932198396868</v>
      </c>
      <c r="J55" s="25">
        <f t="shared" si="2"/>
        <v>0.73932198396867932</v>
      </c>
      <c r="K55" s="1">
        <f t="shared" si="3"/>
        <v>39</v>
      </c>
      <c r="L55" s="1"/>
      <c r="M55" s="8">
        <v>0.04</v>
      </c>
      <c r="N55" s="30">
        <f t="shared" si="11"/>
        <v>50</v>
      </c>
      <c r="O55" s="31">
        <f>+$AC$7/4</f>
        <v>5.3515624999999997E-2</v>
      </c>
      <c r="P55" s="31">
        <v>5.1999999999999998E-2</v>
      </c>
      <c r="S55" s="1"/>
    </row>
    <row r="56" spans="1:19">
      <c r="A56" s="3">
        <f t="shared" si="5"/>
        <v>45204</v>
      </c>
      <c r="B56" s="141"/>
      <c r="C56" s="41"/>
      <c r="D56" s="7">
        <f>+D55+VLOOKUP(K55,$N$5:$P$57,3)*(1-Eingabedaten!$D$16-Eingabedaten!$D$17)+((A56-A55)/365)*(Eingabedaten!$D$16+Eingabedaten!$D$17)</f>
        <v>0.97541149149824002</v>
      </c>
      <c r="E56" s="1">
        <f>+Eingabedaten!$D$13+(1+Eingabedaten!$D$15)*Eingabedaten!$D$14/Eingabedaten!$D$10*D56</f>
        <v>3868.0295719137657</v>
      </c>
      <c r="F56" s="1">
        <f>+Eingabedaten!$D$13+Eingabedaten!$D$14/Eingabedaten!$D$10*D56</f>
        <v>3487.8579765948048</v>
      </c>
      <c r="G56" s="1">
        <f>+Eingabedaten!$D$13+(1-Eingabedaten!$D$15)*Eingabedaten!$D$14/Eingabedaten!$D$10*D56</f>
        <v>3107.6863812758438</v>
      </c>
      <c r="H56" s="1" t="str">
        <f t="shared" si="9"/>
        <v/>
      </c>
      <c r="I56" s="25">
        <f t="shared" si="10"/>
        <v>123.75848642527868</v>
      </c>
      <c r="J56" s="25">
        <f t="shared" si="2"/>
        <v>0.75848642527867582</v>
      </c>
      <c r="K56" s="1">
        <f t="shared" si="3"/>
        <v>40</v>
      </c>
      <c r="L56" s="1"/>
      <c r="M56" s="8">
        <v>4.2000000000000003E-2</v>
      </c>
      <c r="N56" s="30">
        <f t="shared" si="11"/>
        <v>51</v>
      </c>
      <c r="O56" s="31">
        <f>+$AC$7/4</f>
        <v>5.3515624999999997E-2</v>
      </c>
      <c r="P56" s="31">
        <v>5.1999999999999998E-2</v>
      </c>
      <c r="S56" s="1"/>
    </row>
    <row r="57" spans="1:19">
      <c r="A57" s="3">
        <f t="shared" si="5"/>
        <v>45211</v>
      </c>
      <c r="B57" s="142">
        <f>+B5+Eingabedaten!D14/Eingabedaten!D10</f>
        <v>1948.7754585247621</v>
      </c>
      <c r="C57" s="41"/>
      <c r="D57" s="7">
        <f>+D56+VLOOKUP(K56,$N$5:$P$57,3)*(1-Eingabedaten!$D$16-Eingabedaten!$D$17)+((A57-A56)/365)*(Eingabedaten!$D$16+Eingabedaten!$D$17)</f>
        <v>0.98727342805463558</v>
      </c>
      <c r="E57" s="1">
        <f>+Eingabedaten!$D$13+(1+Eingabedaten!$D$15)*Eingabedaten!$D$14/Eingabedaten!$D$10*D57</f>
        <v>3895.7690729357837</v>
      </c>
      <c r="F57" s="1">
        <f>+Eingabedaten!$D$13+Eingabedaten!$D$14/Eingabedaten!$D$10*D57</f>
        <v>3510.9742274464861</v>
      </c>
      <c r="G57" s="1">
        <f>+Eingabedaten!$D$13+(1-Eingabedaten!$D$15)*Eingabedaten!$D$14/Eingabedaten!$D$10*D57</f>
        <v>3126.1793819571894</v>
      </c>
      <c r="H57" s="147">
        <f>IF(B57="","",+$B$58-$B$5+B57)</f>
        <v>3535.7754585247621</v>
      </c>
      <c r="I57" s="25">
        <f t="shared" si="10"/>
        <v>123.77765086658866</v>
      </c>
      <c r="J57" s="25">
        <f t="shared" si="2"/>
        <v>0.77765086658865812</v>
      </c>
      <c r="K57" s="1">
        <f t="shared" si="3"/>
        <v>41</v>
      </c>
      <c r="L57" s="1"/>
      <c r="M57" s="8">
        <v>4.2000000000000003E-2</v>
      </c>
      <c r="N57" s="30">
        <f t="shared" si="11"/>
        <v>52</v>
      </c>
      <c r="O57" s="31">
        <f>+$AC$7/4</f>
        <v>5.3515624999999997E-2</v>
      </c>
      <c r="P57" s="31">
        <v>5.0999999999999997E-2</v>
      </c>
      <c r="S57" s="1"/>
    </row>
    <row r="58" spans="1:19">
      <c r="B58" s="35">
        <f>+Eingabedaten!D13</f>
        <v>1587</v>
      </c>
      <c r="D58" s="27"/>
      <c r="E58" s="25"/>
      <c r="G58" s="26"/>
      <c r="O58" s="31">
        <f>+$Y$7/4</f>
        <v>0</v>
      </c>
      <c r="P58" s="31">
        <f>SUM(P5:P57)</f>
        <v>1.0009282651340401</v>
      </c>
    </row>
    <row r="59" spans="1:19">
      <c r="F59" s="1"/>
    </row>
  </sheetData>
  <printOptions gridLines="1" gridLinesSet="0"/>
  <pageMargins left="0.78740157480314965" right="0.78740157480314965" top="0.98425196850393704" bottom="0.98425196850393704" header="0.51181102362204722" footer="0.51181102362204722"/>
  <pageSetup paperSize="9" scale="56" orientation="landscape" horizontalDpi="300" verticalDpi="300" r:id="rId1"/>
  <headerFooter alignWithMargins="0">
    <oddHeader>&amp;A</oddHeader>
    <oddFooter>Seite &amp;P</oddFooter>
  </headerFooter>
  <drawing r:id="rId2"/>
  <legacyDrawing r:id="rId3"/>
</worksheet>
</file>

<file path=xl/worksheets/sheet4.xml><?xml version="1.0" encoding="utf-8"?>
<worksheet xmlns="http://schemas.openxmlformats.org/spreadsheetml/2006/main" xmlns:r="http://schemas.openxmlformats.org/officeDocument/2006/relationships">
  <dimension ref="A1:M373"/>
  <sheetViews>
    <sheetView topLeftCell="E35" zoomScale="90" workbookViewId="0">
      <selection activeCell="E46" sqref="E46"/>
    </sheetView>
  </sheetViews>
  <sheetFormatPr baseColWidth="10" defaultRowHeight="13.2"/>
  <cols>
    <col min="1" max="1" width="15.5546875" customWidth="1"/>
    <col min="6" max="6" width="16.33203125" bestFit="1" customWidth="1"/>
    <col min="10" max="10" width="12.5546875" bestFit="1" customWidth="1"/>
  </cols>
  <sheetData>
    <row r="1" spans="1:10" ht="72" customHeight="1">
      <c r="A1" s="119" t="s">
        <v>141</v>
      </c>
      <c r="B1" s="120"/>
      <c r="C1" s="120"/>
      <c r="D1" s="120"/>
      <c r="E1" s="120"/>
      <c r="F1" s="120"/>
      <c r="G1" s="120"/>
      <c r="H1" s="120"/>
      <c r="I1" s="120"/>
      <c r="J1" s="120"/>
    </row>
    <row r="2" spans="1:10" ht="15.6">
      <c r="A2" s="42" t="s">
        <v>96</v>
      </c>
      <c r="B2" s="43"/>
      <c r="C2" s="43"/>
      <c r="D2" s="43"/>
      <c r="E2" s="43"/>
      <c r="F2" s="43"/>
      <c r="G2" s="43"/>
      <c r="H2" s="43"/>
      <c r="I2" s="43"/>
      <c r="J2" s="43"/>
    </row>
    <row r="3" spans="1:10">
      <c r="A3" s="44" t="s">
        <v>97</v>
      </c>
      <c r="B3" s="43"/>
      <c r="C3" s="43"/>
      <c r="D3" s="43"/>
      <c r="E3" s="43"/>
      <c r="F3" s="43"/>
      <c r="G3" s="43"/>
      <c r="H3" s="43"/>
      <c r="I3" s="43"/>
      <c r="J3" s="43"/>
    </row>
    <row r="4" spans="1:10" ht="15.6">
      <c r="A4" s="45"/>
      <c r="B4" s="46"/>
      <c r="C4" s="46"/>
      <c r="D4" s="46"/>
      <c r="E4" s="46"/>
      <c r="F4" s="46"/>
      <c r="G4" s="46"/>
      <c r="H4" s="46">
        <v>1997</v>
      </c>
      <c r="I4" s="46"/>
      <c r="J4" s="46"/>
    </row>
    <row r="5" spans="1:10">
      <c r="A5" s="47" t="s">
        <v>98</v>
      </c>
      <c r="B5" s="48" t="s">
        <v>99</v>
      </c>
      <c r="C5" s="49"/>
      <c r="D5" s="49" t="s">
        <v>100</v>
      </c>
      <c r="E5" s="50"/>
      <c r="F5" s="50"/>
      <c r="G5" s="49" t="s">
        <v>101</v>
      </c>
      <c r="H5" s="51">
        <v>18</v>
      </c>
      <c r="I5" s="49" t="s">
        <v>102</v>
      </c>
      <c r="J5" s="52">
        <v>12</v>
      </c>
    </row>
    <row r="6" spans="1:10">
      <c r="A6" s="53"/>
      <c r="B6" s="54"/>
      <c r="C6" s="55"/>
      <c r="D6" s="56"/>
      <c r="E6" s="57"/>
      <c r="F6" s="57"/>
      <c r="G6" s="56"/>
      <c r="H6" s="58"/>
      <c r="I6" s="56"/>
      <c r="J6" s="59"/>
    </row>
    <row r="7" spans="1:10">
      <c r="A7" s="60" t="s">
        <v>103</v>
      </c>
      <c r="B7" s="47"/>
      <c r="C7" s="55"/>
      <c r="D7" s="55"/>
      <c r="E7" s="55"/>
      <c r="F7" s="61"/>
      <c r="G7" s="62" t="s">
        <v>104</v>
      </c>
      <c r="H7" s="59"/>
      <c r="I7" s="63"/>
      <c r="J7" s="63"/>
    </row>
    <row r="8" spans="1:10">
      <c r="A8" s="46"/>
      <c r="B8" s="46"/>
      <c r="C8" s="46"/>
      <c r="D8" s="46"/>
      <c r="E8" s="46"/>
      <c r="F8" s="46"/>
      <c r="G8" s="46"/>
      <c r="H8" s="46"/>
      <c r="I8" s="46"/>
      <c r="J8" s="46"/>
    </row>
    <row r="9" spans="1:10">
      <c r="A9" s="64" t="s">
        <v>105</v>
      </c>
      <c r="B9" s="65">
        <v>20</v>
      </c>
      <c r="C9" s="152" t="s">
        <v>106</v>
      </c>
      <c r="D9" s="153"/>
      <c r="E9" s="153"/>
      <c r="F9" s="66"/>
      <c r="G9" s="67"/>
      <c r="H9" s="67"/>
      <c r="I9" s="67"/>
      <c r="J9" s="67"/>
    </row>
    <row r="10" spans="1:10">
      <c r="A10" s="68"/>
      <c r="B10" s="69"/>
      <c r="C10" s="152"/>
      <c r="D10" s="153"/>
      <c r="E10" s="153"/>
      <c r="F10" s="66"/>
      <c r="G10" s="67"/>
      <c r="H10" s="67"/>
      <c r="I10" s="67"/>
      <c r="J10" s="67"/>
    </row>
    <row r="11" spans="1:10">
      <c r="A11" s="70" t="s">
        <v>107</v>
      </c>
      <c r="B11" s="71"/>
      <c r="C11" s="153"/>
      <c r="D11" s="153"/>
      <c r="E11" s="153"/>
      <c r="F11" s="66"/>
      <c r="G11" s="67"/>
      <c r="H11" s="67"/>
      <c r="I11" s="67"/>
      <c r="J11" s="67"/>
    </row>
    <row r="12" spans="1:10" ht="13.8" thickBot="1">
      <c r="A12" s="66">
        <v>15</v>
      </c>
      <c r="B12" s="46"/>
      <c r="C12" s="66"/>
      <c r="D12" s="66"/>
      <c r="E12" s="66"/>
      <c r="F12" s="66"/>
      <c r="G12" s="67"/>
      <c r="H12" s="67"/>
      <c r="I12" s="67"/>
      <c r="J12" s="67"/>
    </row>
    <row r="13" spans="1:10">
      <c r="A13" s="72"/>
      <c r="B13" s="73" t="s">
        <v>108</v>
      </c>
      <c r="C13" s="74"/>
      <c r="D13" s="75"/>
      <c r="E13" s="76"/>
      <c r="F13" s="67"/>
      <c r="G13" s="73" t="s">
        <v>109</v>
      </c>
      <c r="H13" s="75"/>
      <c r="I13" s="76"/>
      <c r="J13" s="76"/>
    </row>
    <row r="14" spans="1:10">
      <c r="A14" s="77"/>
      <c r="B14" s="78" t="s">
        <v>110</v>
      </c>
      <c r="C14" s="79"/>
      <c r="D14" s="80" t="s">
        <v>111</v>
      </c>
      <c r="E14" s="80" t="s">
        <v>112</v>
      </c>
      <c r="F14" s="46"/>
      <c r="G14" s="81" t="s">
        <v>110</v>
      </c>
      <c r="H14" s="82"/>
      <c r="I14" s="83" t="s">
        <v>111</v>
      </c>
      <c r="J14" s="80" t="s">
        <v>112</v>
      </c>
    </row>
    <row r="15" spans="1:10">
      <c r="A15" s="77"/>
      <c r="B15" s="84" t="s">
        <v>113</v>
      </c>
      <c r="C15" s="85" t="s">
        <v>114</v>
      </c>
      <c r="D15" s="86" t="s">
        <v>115</v>
      </c>
      <c r="E15" s="86" t="s">
        <v>116</v>
      </c>
      <c r="F15" s="46"/>
      <c r="G15" s="84" t="s">
        <v>113</v>
      </c>
      <c r="H15" s="85" t="s">
        <v>114</v>
      </c>
      <c r="I15" s="85" t="s">
        <v>115</v>
      </c>
      <c r="J15" s="86" t="s">
        <v>116</v>
      </c>
    </row>
    <row r="16" spans="1:10">
      <c r="A16" s="87" t="s">
        <v>117</v>
      </c>
      <c r="B16" s="88" t="s">
        <v>118</v>
      </c>
      <c r="C16" s="89" t="s">
        <v>119</v>
      </c>
      <c r="D16" s="80" t="s">
        <v>120</v>
      </c>
      <c r="E16" s="80" t="s">
        <v>120</v>
      </c>
      <c r="F16" s="46"/>
      <c r="G16" s="88" t="s">
        <v>118</v>
      </c>
      <c r="H16" s="89" t="s">
        <v>119</v>
      </c>
      <c r="I16" s="80" t="s">
        <v>120</v>
      </c>
      <c r="J16" s="80" t="s">
        <v>120</v>
      </c>
    </row>
    <row r="17" spans="1:10">
      <c r="A17" s="90" t="s">
        <v>121</v>
      </c>
      <c r="B17" s="91">
        <v>561.1</v>
      </c>
      <c r="C17" s="92">
        <v>31</v>
      </c>
      <c r="D17" s="93">
        <v>1.9</v>
      </c>
      <c r="E17" s="93">
        <v>1.9</v>
      </c>
      <c r="F17" s="46"/>
      <c r="G17" s="91">
        <v>543.93684210526317</v>
      </c>
      <c r="H17" s="92">
        <v>31</v>
      </c>
      <c r="I17" s="93">
        <v>2.4536502546689301</v>
      </c>
      <c r="J17" s="93">
        <v>2.4536502546689309</v>
      </c>
    </row>
    <row r="18" spans="1:10">
      <c r="A18" s="94" t="s">
        <v>122</v>
      </c>
      <c r="B18" s="95">
        <v>480.8</v>
      </c>
      <c r="C18" s="96">
        <v>31</v>
      </c>
      <c r="D18" s="97">
        <v>4.4903225806451621</v>
      </c>
      <c r="E18" s="97">
        <v>4.4903225806451612</v>
      </c>
      <c r="F18" s="46"/>
      <c r="G18" s="98">
        <v>573.09743589743584</v>
      </c>
      <c r="H18" s="96">
        <v>31</v>
      </c>
      <c r="I18" s="97">
        <v>1.5129859387923905</v>
      </c>
      <c r="J18" s="97">
        <v>1.5129859387923918</v>
      </c>
    </row>
    <row r="19" spans="1:10">
      <c r="A19" s="94" t="s">
        <v>123</v>
      </c>
      <c r="B19" s="95">
        <v>454.8</v>
      </c>
      <c r="C19" s="96">
        <v>29</v>
      </c>
      <c r="D19" s="97">
        <v>4.3172413793103441</v>
      </c>
      <c r="E19" s="97">
        <v>4.3172413793103441</v>
      </c>
      <c r="F19" s="46"/>
      <c r="G19" s="98">
        <v>499.82307692307688</v>
      </c>
      <c r="H19" s="96">
        <v>28.256410256410255</v>
      </c>
      <c r="I19" s="97">
        <v>2.303476695718075</v>
      </c>
      <c r="J19" s="97">
        <v>2.3111615245009087</v>
      </c>
    </row>
    <row r="20" spans="1:10">
      <c r="A20" s="94" t="s">
        <v>124</v>
      </c>
      <c r="B20" s="95">
        <v>461</v>
      </c>
      <c r="C20" s="96">
        <v>31</v>
      </c>
      <c r="D20" s="97">
        <v>5.129032258064516</v>
      </c>
      <c r="E20" s="97">
        <v>5.129032258064516</v>
      </c>
      <c r="F20" s="46"/>
      <c r="G20" s="98">
        <v>446.45384615384614</v>
      </c>
      <c r="H20" s="96">
        <v>30.846153846153847</v>
      </c>
      <c r="I20" s="97">
        <v>5.5779983457402817</v>
      </c>
      <c r="J20" s="97">
        <v>5.526433915211971</v>
      </c>
    </row>
    <row r="21" spans="1:10">
      <c r="A21" s="94" t="s">
        <v>125</v>
      </c>
      <c r="B21" s="95">
        <v>350</v>
      </c>
      <c r="C21" s="96">
        <v>29</v>
      </c>
      <c r="D21" s="97">
        <v>8.1866666666666674</v>
      </c>
      <c r="E21" s="97">
        <v>7.931034482758621</v>
      </c>
      <c r="F21" s="46"/>
      <c r="G21" s="98">
        <v>331.23589743589741</v>
      </c>
      <c r="H21" s="96">
        <v>27.923076923076923</v>
      </c>
      <c r="I21" s="97">
        <v>8.7317094017094021</v>
      </c>
      <c r="J21" s="97">
        <v>8.1375573921028472</v>
      </c>
    </row>
    <row r="22" spans="1:10">
      <c r="A22" s="94" t="s">
        <v>126</v>
      </c>
      <c r="B22" s="95">
        <v>82.8</v>
      </c>
      <c r="C22" s="96">
        <v>12</v>
      </c>
      <c r="D22" s="97">
        <v>16.261290322580646</v>
      </c>
      <c r="E22" s="97">
        <v>13.1</v>
      </c>
      <c r="F22" s="46"/>
      <c r="G22" s="98">
        <v>182.08717948717947</v>
      </c>
      <c r="H22" s="96">
        <v>20.717948717948719</v>
      </c>
      <c r="I22" s="97">
        <v>13.297022332506202</v>
      </c>
      <c r="J22" s="97">
        <v>11.211138613861387</v>
      </c>
    </row>
    <row r="23" spans="1:10">
      <c r="A23" s="94" t="s">
        <v>127</v>
      </c>
      <c r="B23" s="95">
        <v>40.1</v>
      </c>
      <c r="C23" s="96">
        <v>5</v>
      </c>
      <c r="D23" s="97">
        <v>17.393333333333331</v>
      </c>
      <c r="E23" s="97">
        <v>11.98</v>
      </c>
      <c r="F23" s="46"/>
      <c r="G23" s="98">
        <v>88.976923076923072</v>
      </c>
      <c r="H23" s="96">
        <v>12.076923076923077</v>
      </c>
      <c r="I23" s="97">
        <v>16.265811965811967</v>
      </c>
      <c r="J23" s="97">
        <v>12.632484076433121</v>
      </c>
    </row>
    <row r="24" spans="1:10">
      <c r="A24" s="94" t="s">
        <v>128</v>
      </c>
      <c r="B24" s="95">
        <v>19.399999999999999</v>
      </c>
      <c r="C24" s="96">
        <v>3</v>
      </c>
      <c r="D24" s="97">
        <v>18.229032258064521</v>
      </c>
      <c r="E24" s="97">
        <v>13.533333333333333</v>
      </c>
      <c r="F24" s="46"/>
      <c r="G24" s="98">
        <v>39.02051282051282</v>
      </c>
      <c r="H24" s="96">
        <v>5.9743589743589745</v>
      </c>
      <c r="I24" s="97">
        <v>18.247559966914807</v>
      </c>
      <c r="J24" s="97">
        <v>13.468669527896996</v>
      </c>
    </row>
    <row r="25" spans="1:10">
      <c r="A25" s="94" t="s">
        <v>129</v>
      </c>
      <c r="B25" s="95">
        <v>11.6</v>
      </c>
      <c r="C25" s="96">
        <v>2</v>
      </c>
      <c r="D25" s="97">
        <v>17.603225806451615</v>
      </c>
      <c r="E25" s="97">
        <v>14.2</v>
      </c>
      <c r="F25" s="46"/>
      <c r="G25" s="98">
        <v>40.07692307692308</v>
      </c>
      <c r="H25" s="96">
        <v>6.2051282051282053</v>
      </c>
      <c r="I25" s="97">
        <v>17.88354011579818</v>
      </c>
      <c r="J25" s="97">
        <v>13.541322314049586</v>
      </c>
    </row>
    <row r="26" spans="1:10">
      <c r="A26" s="94" t="s">
        <v>130</v>
      </c>
      <c r="B26" s="95">
        <v>202</v>
      </c>
      <c r="C26" s="96">
        <v>22</v>
      </c>
      <c r="D26" s="97">
        <v>12.456666666666669</v>
      </c>
      <c r="E26" s="97">
        <v>10.818181818181818</v>
      </c>
      <c r="F26" s="46"/>
      <c r="G26" s="98">
        <v>146.60512820512821</v>
      </c>
      <c r="H26" s="96">
        <v>18.564102564102566</v>
      </c>
      <c r="I26" s="97">
        <v>14.084615384615384</v>
      </c>
      <c r="J26" s="97">
        <v>12.102762430939228</v>
      </c>
    </row>
    <row r="27" spans="1:10">
      <c r="A27" s="94" t="s">
        <v>131</v>
      </c>
      <c r="B27" s="95">
        <v>330.8</v>
      </c>
      <c r="C27" s="96">
        <v>31</v>
      </c>
      <c r="D27" s="97">
        <v>9.3290322580645153</v>
      </c>
      <c r="E27" s="97">
        <v>9.3290322580645153</v>
      </c>
      <c r="F27" s="46"/>
      <c r="G27" s="98">
        <v>307.94358974358971</v>
      </c>
      <c r="H27" s="96">
        <v>28.974358974358974</v>
      </c>
      <c r="I27" s="97">
        <v>9.8303556658395355</v>
      </c>
      <c r="J27" s="97">
        <v>9.371858407079646</v>
      </c>
    </row>
    <row r="28" spans="1:10">
      <c r="A28" s="99" t="s">
        <v>132</v>
      </c>
      <c r="B28" s="98">
        <v>435.3</v>
      </c>
      <c r="C28" s="100">
        <v>30</v>
      </c>
      <c r="D28" s="101">
        <v>5.49</v>
      </c>
      <c r="E28" s="101">
        <v>5.49</v>
      </c>
      <c r="F28" s="46"/>
      <c r="G28" s="98">
        <v>449.08684210526314</v>
      </c>
      <c r="H28" s="100">
        <v>30</v>
      </c>
      <c r="I28" s="101">
        <v>5.030438596491229</v>
      </c>
      <c r="J28" s="102">
        <v>5.0304385964912282</v>
      </c>
    </row>
    <row r="29" spans="1:10" ht="13.8" thickBot="1">
      <c r="A29" s="103" t="s">
        <v>133</v>
      </c>
      <c r="B29" s="104">
        <v>3429.7</v>
      </c>
      <c r="C29" s="104">
        <v>256</v>
      </c>
      <c r="D29" s="105">
        <v>10.10378837978271</v>
      </c>
      <c r="E29" s="105">
        <v>6.6027343749999998</v>
      </c>
      <c r="F29" s="46"/>
      <c r="G29" s="106">
        <v>3648.3441970310391</v>
      </c>
      <c r="H29" s="107">
        <v>271.53846153846155</v>
      </c>
      <c r="I29" s="105">
        <v>9.645948216895933</v>
      </c>
      <c r="J29" s="105">
        <v>6.5641715123502831</v>
      </c>
    </row>
    <row r="30" spans="1:10">
      <c r="A30" s="46"/>
      <c r="B30" s="46"/>
      <c r="C30" s="46"/>
      <c r="D30" s="46"/>
      <c r="E30" s="46"/>
      <c r="F30" s="46"/>
      <c r="G30" s="108" t="s">
        <v>134</v>
      </c>
      <c r="H30" s="46"/>
      <c r="I30" s="46"/>
      <c r="J30" s="46"/>
    </row>
    <row r="31" spans="1:10">
      <c r="A31" s="46"/>
      <c r="B31" s="46"/>
      <c r="C31" s="46"/>
      <c r="D31" s="46"/>
      <c r="E31" s="46"/>
      <c r="F31" s="46"/>
      <c r="G31" s="46"/>
      <c r="H31" s="46"/>
      <c r="I31" s="46"/>
      <c r="J31" s="46"/>
    </row>
    <row r="32" spans="1:10">
      <c r="A32" s="71" t="s">
        <v>135</v>
      </c>
      <c r="B32" s="71"/>
      <c r="C32" s="71"/>
      <c r="D32" s="71"/>
      <c r="E32" s="71"/>
      <c r="F32" s="71"/>
      <c r="G32" s="109"/>
      <c r="H32" s="110">
        <v>0.94007029347478566</v>
      </c>
      <c r="I32" s="46"/>
      <c r="J32" s="46"/>
    </row>
    <row r="33" spans="1:13">
      <c r="A33" s="111"/>
      <c r="B33" s="111"/>
      <c r="C33" s="111"/>
      <c r="D33" s="111"/>
      <c r="E33" s="111"/>
      <c r="F33" s="111"/>
      <c r="G33" s="111"/>
      <c r="H33" s="112"/>
      <c r="I33" s="46"/>
      <c r="J33" s="46"/>
    </row>
    <row r="34" spans="1:13">
      <c r="A34" s="71" t="s">
        <v>136</v>
      </c>
      <c r="B34" s="71"/>
      <c r="C34" s="71"/>
      <c r="D34" s="71"/>
      <c r="E34" s="71"/>
      <c r="F34" s="71"/>
      <c r="G34" s="109"/>
      <c r="H34" s="110">
        <v>0.94277620396600559</v>
      </c>
      <c r="I34" s="46"/>
      <c r="J34" s="46"/>
    </row>
    <row r="35" spans="1:13">
      <c r="A35" s="46"/>
      <c r="B35" s="46"/>
      <c r="C35" s="46"/>
      <c r="D35" s="46"/>
      <c r="E35" s="46"/>
      <c r="F35" s="46"/>
      <c r="G35" s="46"/>
      <c r="H35" s="46"/>
      <c r="I35" s="46"/>
      <c r="J35" s="46"/>
    </row>
    <row r="36" spans="1:13" ht="15.6">
      <c r="A36" s="71" t="s">
        <v>137</v>
      </c>
      <c r="B36" s="71"/>
      <c r="C36" s="71"/>
      <c r="D36" s="71"/>
      <c r="E36" s="71"/>
      <c r="F36" s="71"/>
      <c r="G36" s="109"/>
      <c r="H36" s="113">
        <v>1.1321689943726858</v>
      </c>
    </row>
    <row r="37" spans="1:13">
      <c r="A37" s="111"/>
      <c r="B37" s="111"/>
      <c r="C37" s="111"/>
      <c r="D37" s="111"/>
      <c r="E37" s="111"/>
      <c r="F37" s="111"/>
      <c r="G37" s="111"/>
      <c r="H37" s="114"/>
    </row>
    <row r="39" spans="1:13">
      <c r="A39" s="115" t="s">
        <v>138</v>
      </c>
    </row>
    <row r="40" spans="1:13">
      <c r="A40" s="115"/>
    </row>
    <row r="41" spans="1:13">
      <c r="A41" s="116" t="s">
        <v>139</v>
      </c>
      <c r="B41" s="111"/>
      <c r="C41" s="111"/>
      <c r="D41" s="111"/>
      <c r="E41" s="111"/>
      <c r="F41" s="111"/>
      <c r="G41" s="46"/>
      <c r="H41" s="46"/>
      <c r="I41" s="46"/>
      <c r="J41" s="46"/>
    </row>
    <row r="42" spans="1:13">
      <c r="A42" s="117" t="s">
        <v>140</v>
      </c>
      <c r="B42" s="118"/>
      <c r="C42" s="118"/>
      <c r="D42" s="118"/>
      <c r="E42" s="118"/>
      <c r="F42" s="118"/>
      <c r="G42" s="118"/>
      <c r="H42" s="118"/>
      <c r="I42" s="118"/>
      <c r="J42" s="118"/>
    </row>
    <row r="43" spans="1:13">
      <c r="G43">
        <v>7</v>
      </c>
    </row>
    <row r="44" spans="1:13">
      <c r="A44" s="5" t="s">
        <v>143</v>
      </c>
      <c r="E44" t="s">
        <v>146</v>
      </c>
      <c r="F44" t="s">
        <v>148</v>
      </c>
      <c r="G44" t="s">
        <v>147</v>
      </c>
      <c r="K44" t="s">
        <v>152</v>
      </c>
    </row>
    <row r="45" spans="1:13">
      <c r="A45" s="121"/>
      <c r="B45" t="s">
        <v>142</v>
      </c>
      <c r="C45" t="s">
        <v>117</v>
      </c>
      <c r="D45" t="s">
        <v>133</v>
      </c>
      <c r="E45" t="s">
        <v>61</v>
      </c>
      <c r="H45" t="s">
        <v>144</v>
      </c>
      <c r="I45" t="s">
        <v>145</v>
      </c>
      <c r="J45" t="s">
        <v>149</v>
      </c>
      <c r="K45" t="s">
        <v>151</v>
      </c>
      <c r="L45" t="s">
        <v>150</v>
      </c>
      <c r="M45" t="s">
        <v>153</v>
      </c>
    </row>
    <row r="46" spans="1:13">
      <c r="A46" s="121" t="str">
        <f>+A17</f>
        <v>Dezember 2007</v>
      </c>
      <c r="B46">
        <v>1</v>
      </c>
      <c r="C46" s="124">
        <f>MONTH(A46)</f>
        <v>12</v>
      </c>
      <c r="D46" s="124">
        <f>+YEAR(A46)</f>
        <v>2007</v>
      </c>
      <c r="E46" s="125">
        <f>+DATE(D46,C46,B46)</f>
        <v>39417</v>
      </c>
      <c r="F46" s="129">
        <f>+E48-E46</f>
        <v>31</v>
      </c>
      <c r="G46" s="130">
        <f>+B17</f>
        <v>561.1</v>
      </c>
      <c r="H46" s="123">
        <f>+E46</f>
        <v>39417</v>
      </c>
      <c r="I46" s="127">
        <f>+H47</f>
        <v>39424</v>
      </c>
      <c r="J46" s="41">
        <f>+I46-H46</f>
        <v>7</v>
      </c>
      <c r="L46" s="131">
        <f>+J46</f>
        <v>7</v>
      </c>
      <c r="M46" s="132">
        <f>+G46*J46/F46</f>
        <v>126.7</v>
      </c>
    </row>
    <row r="47" spans="1:13">
      <c r="B47">
        <f>+B46+14</f>
        <v>15</v>
      </c>
      <c r="C47" s="124">
        <f>+C46</f>
        <v>12</v>
      </c>
      <c r="D47" s="124">
        <f>+D46</f>
        <v>2007</v>
      </c>
      <c r="E47" s="125">
        <f>+DATE(D47,C47,B47)</f>
        <v>39431</v>
      </c>
      <c r="F47" s="124"/>
      <c r="G47" s="124"/>
      <c r="H47" s="127">
        <f>+E47-$G$43</f>
        <v>39424</v>
      </c>
      <c r="I47" s="127">
        <f>+E47+$G$43</f>
        <v>39438</v>
      </c>
      <c r="J47" s="41">
        <f t="shared" ref="J47:J69" si="0">+I47-H47</f>
        <v>14</v>
      </c>
      <c r="K47" s="129"/>
      <c r="L47" s="124">
        <f>+J47</f>
        <v>14</v>
      </c>
      <c r="M47" s="130">
        <f>+G46*J47/F46</f>
        <v>253.4</v>
      </c>
    </row>
    <row r="48" spans="1:13">
      <c r="A48" s="121" t="str">
        <f>+A18</f>
        <v>Januar 2008</v>
      </c>
      <c r="B48">
        <f>+B46</f>
        <v>1</v>
      </c>
      <c r="C48">
        <f>MONTH(A48)</f>
        <v>1</v>
      </c>
      <c r="D48">
        <f>+YEAR(A48)</f>
        <v>2008</v>
      </c>
      <c r="E48" s="126">
        <f t="shared" ref="E48:E69" si="1">+DATE(D48,C48,B48)</f>
        <v>39448</v>
      </c>
      <c r="F48" s="41">
        <f>+E50-E48</f>
        <v>31</v>
      </c>
      <c r="G48" s="1">
        <f>+B18</f>
        <v>480.8</v>
      </c>
      <c r="H48" s="127">
        <f>+I47</f>
        <v>39438</v>
      </c>
      <c r="I48" s="122">
        <f>+H49</f>
        <v>39455</v>
      </c>
      <c r="J48" s="41">
        <f t="shared" si="0"/>
        <v>17</v>
      </c>
      <c r="K48" s="129">
        <f>+J48-DAY(I48)</f>
        <v>9</v>
      </c>
      <c r="L48" s="129">
        <f>+J48-K48</f>
        <v>8</v>
      </c>
      <c r="M48" s="130">
        <f>+G46*K48/F46 + L48*G48/F48</f>
        <v>286.97741935483873</v>
      </c>
    </row>
    <row r="49" spans="1:13">
      <c r="B49">
        <f>+B47</f>
        <v>15</v>
      </c>
      <c r="C49">
        <f>+C48</f>
        <v>1</v>
      </c>
      <c r="D49">
        <f>+D48</f>
        <v>2008</v>
      </c>
      <c r="E49" s="126">
        <f t="shared" si="1"/>
        <v>39462</v>
      </c>
      <c r="H49" s="122">
        <f>+E49-$G$43</f>
        <v>39455</v>
      </c>
      <c r="I49" s="122">
        <f>+E49+$G$43</f>
        <v>39469</v>
      </c>
      <c r="J49" s="41">
        <f t="shared" si="0"/>
        <v>14</v>
      </c>
      <c r="K49" s="133"/>
      <c r="L49" s="40">
        <f>+J49</f>
        <v>14</v>
      </c>
      <c r="M49" s="134">
        <f>+G48*J49/F48</f>
        <v>217.13548387096773</v>
      </c>
    </row>
    <row r="50" spans="1:13">
      <c r="A50" s="121" t="str">
        <f>+A19</f>
        <v>Februar 2008</v>
      </c>
      <c r="B50">
        <f t="shared" ref="B50:B69" si="2">+B48</f>
        <v>1</v>
      </c>
      <c r="C50">
        <f>MONTH(A50)</f>
        <v>2</v>
      </c>
      <c r="D50">
        <f>+YEAR(A50)</f>
        <v>2008</v>
      </c>
      <c r="E50" s="126">
        <f t="shared" si="1"/>
        <v>39479</v>
      </c>
      <c r="F50" s="41">
        <f>+E52-E50</f>
        <v>29</v>
      </c>
      <c r="G50" s="1">
        <f>+B19</f>
        <v>454.8</v>
      </c>
      <c r="H50" s="122">
        <f>+I49</f>
        <v>39469</v>
      </c>
      <c r="I50" s="122">
        <f>+H51</f>
        <v>39486</v>
      </c>
      <c r="J50" s="41">
        <f t="shared" si="0"/>
        <v>17</v>
      </c>
      <c r="K50" s="133">
        <f>+J50-DAY(I50)</f>
        <v>9</v>
      </c>
      <c r="L50" s="133">
        <f>+J50-K50</f>
        <v>8</v>
      </c>
      <c r="M50" s="134">
        <f>+G48*K50/F48 + L50*G50/F50</f>
        <v>265.04916573971082</v>
      </c>
    </row>
    <row r="51" spans="1:13">
      <c r="A51" s="121"/>
      <c r="B51">
        <f t="shared" si="2"/>
        <v>15</v>
      </c>
      <c r="C51">
        <f>+C50</f>
        <v>2</v>
      </c>
      <c r="D51">
        <f>+D50</f>
        <v>2008</v>
      </c>
      <c r="E51" s="126">
        <f t="shared" si="1"/>
        <v>39493</v>
      </c>
      <c r="H51" s="122">
        <f>+E51-$G$43</f>
        <v>39486</v>
      </c>
      <c r="I51" s="122">
        <f>+E51+$G$43</f>
        <v>39500</v>
      </c>
      <c r="J51" s="41">
        <f t="shared" si="0"/>
        <v>14</v>
      </c>
      <c r="K51" s="133"/>
      <c r="L51" s="40">
        <f>+J51</f>
        <v>14</v>
      </c>
      <c r="M51" s="134">
        <f>+G50*J51/F50</f>
        <v>219.55862068965516</v>
      </c>
    </row>
    <row r="52" spans="1:13">
      <c r="A52" s="121" t="str">
        <f>+A20</f>
        <v>März 2008</v>
      </c>
      <c r="B52">
        <f t="shared" si="2"/>
        <v>1</v>
      </c>
      <c r="C52">
        <f>MONTH(A52)</f>
        <v>3</v>
      </c>
      <c r="D52">
        <f>+YEAR(A52)</f>
        <v>2008</v>
      </c>
      <c r="E52" s="126">
        <f t="shared" si="1"/>
        <v>39508</v>
      </c>
      <c r="F52" s="41">
        <f>+E54-E52</f>
        <v>31</v>
      </c>
      <c r="G52" s="1">
        <f>+B20</f>
        <v>461</v>
      </c>
      <c r="H52" s="122">
        <f>+I51</f>
        <v>39500</v>
      </c>
      <c r="I52" s="122">
        <f>+H53</f>
        <v>39515</v>
      </c>
      <c r="J52" s="41">
        <f t="shared" si="0"/>
        <v>15</v>
      </c>
      <c r="K52" s="133">
        <f>+J52-DAY(I52)</f>
        <v>7</v>
      </c>
      <c r="L52" s="133">
        <f>+J52-K52</f>
        <v>8</v>
      </c>
      <c r="M52" s="134">
        <f>+G50*K52/F50 + L52*G52/F52</f>
        <v>228.74705228031144</v>
      </c>
    </row>
    <row r="53" spans="1:13">
      <c r="A53" s="121"/>
      <c r="B53">
        <f t="shared" si="2"/>
        <v>15</v>
      </c>
      <c r="C53">
        <f>+C52</f>
        <v>3</v>
      </c>
      <c r="D53">
        <f>+D52</f>
        <v>2008</v>
      </c>
      <c r="E53" s="126">
        <f t="shared" si="1"/>
        <v>39522</v>
      </c>
      <c r="H53" s="122">
        <f>+E53-$G$43</f>
        <v>39515</v>
      </c>
      <c r="I53" s="122">
        <f>+E53+$G$43</f>
        <v>39529</v>
      </c>
      <c r="J53" s="41">
        <f t="shared" si="0"/>
        <v>14</v>
      </c>
      <c r="K53" s="133"/>
      <c r="L53" s="40">
        <f>+J53</f>
        <v>14</v>
      </c>
      <c r="M53" s="134">
        <f>+G52*J53/F52</f>
        <v>208.19354838709677</v>
      </c>
    </row>
    <row r="54" spans="1:13">
      <c r="A54" s="121" t="str">
        <f>+A21</f>
        <v>April 2008</v>
      </c>
      <c r="B54">
        <f t="shared" si="2"/>
        <v>1</v>
      </c>
      <c r="C54">
        <f>MONTH(A54)</f>
        <v>4</v>
      </c>
      <c r="D54">
        <f>+YEAR(A54)</f>
        <v>2008</v>
      </c>
      <c r="E54" s="126">
        <f t="shared" si="1"/>
        <v>39539</v>
      </c>
      <c r="F54" s="41">
        <f>+E56-E54</f>
        <v>30</v>
      </c>
      <c r="G54" s="1">
        <f>+B21</f>
        <v>350</v>
      </c>
      <c r="H54" s="122">
        <f>+I53</f>
        <v>39529</v>
      </c>
      <c r="I54" s="122">
        <f>+H55</f>
        <v>39546</v>
      </c>
      <c r="J54" s="41">
        <f t="shared" si="0"/>
        <v>17</v>
      </c>
      <c r="K54" s="133">
        <f>+J54-DAY(I54)</f>
        <v>9</v>
      </c>
      <c r="L54" s="133">
        <f>+J54-K54</f>
        <v>8</v>
      </c>
      <c r="M54" s="134">
        <f>+G52*K54/F52 + L54*G54/F54</f>
        <v>227.1720430107527</v>
      </c>
    </row>
    <row r="55" spans="1:13">
      <c r="A55" s="121"/>
      <c r="B55">
        <f t="shared" si="2"/>
        <v>15</v>
      </c>
      <c r="C55">
        <f>+C54</f>
        <v>4</v>
      </c>
      <c r="D55">
        <f>+D54</f>
        <v>2008</v>
      </c>
      <c r="E55" s="126">
        <f t="shared" si="1"/>
        <v>39553</v>
      </c>
      <c r="H55" s="122">
        <f>+E55-$G$43</f>
        <v>39546</v>
      </c>
      <c r="I55" s="122">
        <f>+E55+$G$43</f>
        <v>39560</v>
      </c>
      <c r="J55" s="41">
        <f t="shared" si="0"/>
        <v>14</v>
      </c>
      <c r="K55" s="133"/>
      <c r="L55" s="40">
        <f>+J55</f>
        <v>14</v>
      </c>
      <c r="M55" s="134">
        <f>+G54*J55/F54</f>
        <v>163.33333333333334</v>
      </c>
    </row>
    <row r="56" spans="1:13">
      <c r="A56" s="121" t="str">
        <f>+A22</f>
        <v>Mai 2008</v>
      </c>
      <c r="B56">
        <f t="shared" si="2"/>
        <v>1</v>
      </c>
      <c r="C56">
        <f>MONTH(A56)</f>
        <v>5</v>
      </c>
      <c r="D56">
        <f>+YEAR(A56)</f>
        <v>2008</v>
      </c>
      <c r="E56" s="126">
        <f t="shared" si="1"/>
        <v>39569</v>
      </c>
      <c r="F56" s="41">
        <f>+E58-E56</f>
        <v>31</v>
      </c>
      <c r="G56" s="1">
        <f>+B22</f>
        <v>82.8</v>
      </c>
      <c r="H56" s="122">
        <f>+I55</f>
        <v>39560</v>
      </c>
      <c r="I56" s="122">
        <f>+H57</f>
        <v>39576</v>
      </c>
      <c r="J56" s="41">
        <f t="shared" si="0"/>
        <v>16</v>
      </c>
      <c r="K56" s="133">
        <f>+J56-DAY(I56)</f>
        <v>8</v>
      </c>
      <c r="L56" s="133">
        <f>+J56-K56</f>
        <v>8</v>
      </c>
      <c r="M56" s="134">
        <f>+G54*K56/F54 + L56*G56/F56</f>
        <v>114.70107526881719</v>
      </c>
    </row>
    <row r="57" spans="1:13">
      <c r="A57" s="121"/>
      <c r="B57">
        <f t="shared" si="2"/>
        <v>15</v>
      </c>
      <c r="C57">
        <f>+C56</f>
        <v>5</v>
      </c>
      <c r="D57">
        <f>+D56</f>
        <v>2008</v>
      </c>
      <c r="E57" s="126">
        <f t="shared" si="1"/>
        <v>39583</v>
      </c>
      <c r="H57" s="122">
        <f>+E57-$G$43</f>
        <v>39576</v>
      </c>
      <c r="I57" s="122">
        <f>+E57+$G$43</f>
        <v>39590</v>
      </c>
      <c r="J57" s="41">
        <f t="shared" si="0"/>
        <v>14</v>
      </c>
      <c r="K57" s="133"/>
      <c r="L57" s="40">
        <f>+J57</f>
        <v>14</v>
      </c>
      <c r="M57" s="134">
        <f>+G56*J57/F56</f>
        <v>37.393548387096779</v>
      </c>
    </row>
    <row r="58" spans="1:13">
      <c r="A58" s="121" t="str">
        <f>+A23</f>
        <v>Juni 2008</v>
      </c>
      <c r="B58">
        <f t="shared" si="2"/>
        <v>1</v>
      </c>
      <c r="C58">
        <f>MONTH(A58)</f>
        <v>6</v>
      </c>
      <c r="D58">
        <f>+YEAR(A58)</f>
        <v>2008</v>
      </c>
      <c r="E58" s="126">
        <f t="shared" si="1"/>
        <v>39600</v>
      </c>
      <c r="F58" s="41">
        <f>+E60-E58</f>
        <v>30</v>
      </c>
      <c r="G58" s="1">
        <f>+B23</f>
        <v>40.1</v>
      </c>
      <c r="H58" s="122">
        <f>+I57</f>
        <v>39590</v>
      </c>
      <c r="I58" s="122">
        <f>+H59</f>
        <v>39607</v>
      </c>
      <c r="J58" s="41">
        <f t="shared" si="0"/>
        <v>17</v>
      </c>
      <c r="K58" s="133">
        <f>+J58-DAY(I58)</f>
        <v>9</v>
      </c>
      <c r="L58" s="133">
        <f>+J58-K58</f>
        <v>8</v>
      </c>
      <c r="M58" s="134">
        <f>+G56*K58/F56 + L58*G58/F58</f>
        <v>34.732043010752683</v>
      </c>
    </row>
    <row r="59" spans="1:13">
      <c r="B59">
        <f t="shared" si="2"/>
        <v>15</v>
      </c>
      <c r="C59">
        <f>+C58</f>
        <v>6</v>
      </c>
      <c r="D59">
        <f>+D58</f>
        <v>2008</v>
      </c>
      <c r="E59" s="126">
        <f t="shared" si="1"/>
        <v>39614</v>
      </c>
      <c r="H59" s="122">
        <f>+E59-$G$43</f>
        <v>39607</v>
      </c>
      <c r="I59" s="122">
        <f>+E59+$G$43</f>
        <v>39621</v>
      </c>
      <c r="J59" s="41">
        <f t="shared" si="0"/>
        <v>14</v>
      </c>
      <c r="K59" s="133"/>
      <c r="L59" s="40">
        <f>+J59</f>
        <v>14</v>
      </c>
      <c r="M59" s="134">
        <f>+G58*J59/F58</f>
        <v>18.713333333333331</v>
      </c>
    </row>
    <row r="60" spans="1:13">
      <c r="A60" s="121" t="str">
        <f>+A24</f>
        <v>Juli 2008</v>
      </c>
      <c r="B60">
        <f t="shared" si="2"/>
        <v>1</v>
      </c>
      <c r="C60">
        <f>MONTH(A60)</f>
        <v>7</v>
      </c>
      <c r="D60">
        <f>+YEAR(A60)</f>
        <v>2008</v>
      </c>
      <c r="E60" s="126">
        <f t="shared" si="1"/>
        <v>39630</v>
      </c>
      <c r="F60" s="41">
        <f>+E62-E60</f>
        <v>31</v>
      </c>
      <c r="G60" s="1">
        <f>+B24</f>
        <v>19.399999999999999</v>
      </c>
      <c r="H60" s="122">
        <f>+I59</f>
        <v>39621</v>
      </c>
      <c r="I60" s="122">
        <f>+H61</f>
        <v>39637</v>
      </c>
      <c r="J60" s="41">
        <f t="shared" si="0"/>
        <v>16</v>
      </c>
      <c r="K60" s="133">
        <f>+J60-DAY(I60)</f>
        <v>8</v>
      </c>
      <c r="L60" s="133">
        <f>+J60-K60</f>
        <v>8</v>
      </c>
      <c r="M60" s="134">
        <f>+G58*K60/F58 + L60*G60/F60</f>
        <v>15.699784946236559</v>
      </c>
    </row>
    <row r="61" spans="1:13">
      <c r="B61">
        <f t="shared" si="2"/>
        <v>15</v>
      </c>
      <c r="C61">
        <f>+C60</f>
        <v>7</v>
      </c>
      <c r="D61">
        <f>+D60</f>
        <v>2008</v>
      </c>
      <c r="E61" s="126">
        <f t="shared" si="1"/>
        <v>39644</v>
      </c>
      <c r="H61" s="122">
        <f>+E61-$G$43</f>
        <v>39637</v>
      </c>
      <c r="I61" s="122">
        <f>+E61+$G$43</f>
        <v>39651</v>
      </c>
      <c r="J61" s="41">
        <f t="shared" si="0"/>
        <v>14</v>
      </c>
      <c r="K61" s="133"/>
      <c r="L61" s="40">
        <f>+J61</f>
        <v>14</v>
      </c>
      <c r="M61" s="134">
        <f>+G60*J61/F60</f>
        <v>8.7612903225806438</v>
      </c>
    </row>
    <row r="62" spans="1:13">
      <c r="A62" s="121" t="str">
        <f>+A25</f>
        <v>August 2008</v>
      </c>
      <c r="B62">
        <f t="shared" si="2"/>
        <v>1</v>
      </c>
      <c r="C62">
        <f>MONTH(A62)</f>
        <v>8</v>
      </c>
      <c r="D62">
        <f>+YEAR(A62)</f>
        <v>2008</v>
      </c>
      <c r="E62" s="126">
        <f t="shared" si="1"/>
        <v>39661</v>
      </c>
      <c r="F62" s="41">
        <f>+E64-E62</f>
        <v>31</v>
      </c>
      <c r="G62" s="1">
        <f>+B25</f>
        <v>11.6</v>
      </c>
      <c r="H62" s="122">
        <f>+I61</f>
        <v>39651</v>
      </c>
      <c r="I62" s="122">
        <f>+H63</f>
        <v>39668</v>
      </c>
      <c r="J62" s="41">
        <f t="shared" si="0"/>
        <v>17</v>
      </c>
      <c r="K62" s="133">
        <f>+J62-DAY(I62)</f>
        <v>9</v>
      </c>
      <c r="L62" s="133">
        <f>+J62-K62</f>
        <v>8</v>
      </c>
      <c r="M62" s="134">
        <f>+G60*K62/F60 + L62*G62/F62</f>
        <v>8.6258064516129025</v>
      </c>
    </row>
    <row r="63" spans="1:13">
      <c r="B63">
        <f t="shared" si="2"/>
        <v>15</v>
      </c>
      <c r="C63">
        <f>+C62</f>
        <v>8</v>
      </c>
      <c r="D63">
        <f>+D62</f>
        <v>2008</v>
      </c>
      <c r="E63" s="126">
        <f t="shared" si="1"/>
        <v>39675</v>
      </c>
      <c r="H63" s="122">
        <f>+E63-$G$43</f>
        <v>39668</v>
      </c>
      <c r="I63" s="122">
        <f>+E63+$G$43</f>
        <v>39682</v>
      </c>
      <c r="J63" s="41">
        <f t="shared" si="0"/>
        <v>14</v>
      </c>
      <c r="K63" s="133"/>
      <c r="L63" s="40">
        <f>+J63</f>
        <v>14</v>
      </c>
      <c r="M63" s="134">
        <f>+G62*J63/F62</f>
        <v>5.2387096774193553</v>
      </c>
    </row>
    <row r="64" spans="1:13">
      <c r="A64" s="121" t="str">
        <f>+A26</f>
        <v>September 2008</v>
      </c>
      <c r="B64">
        <f t="shared" si="2"/>
        <v>1</v>
      </c>
      <c r="C64">
        <f>MONTH(A64)</f>
        <v>9</v>
      </c>
      <c r="D64">
        <f>+YEAR(A64)</f>
        <v>2008</v>
      </c>
      <c r="E64" s="126">
        <f t="shared" si="1"/>
        <v>39692</v>
      </c>
      <c r="F64" s="41">
        <f>+E66-E64</f>
        <v>30</v>
      </c>
      <c r="G64" s="1">
        <f>+B26</f>
        <v>202</v>
      </c>
      <c r="H64" s="122">
        <f>+I63</f>
        <v>39682</v>
      </c>
      <c r="I64" s="122">
        <f>+H65</f>
        <v>39699</v>
      </c>
      <c r="J64" s="41">
        <f t="shared" si="0"/>
        <v>17</v>
      </c>
      <c r="K64" s="133">
        <f>+J64-DAY(I64)</f>
        <v>9</v>
      </c>
      <c r="L64" s="133">
        <f>+J64-K64</f>
        <v>8</v>
      </c>
      <c r="M64" s="134">
        <f>+G62*K64/F62 + L64*G64/F64</f>
        <v>57.234408602150538</v>
      </c>
    </row>
    <row r="65" spans="1:13">
      <c r="B65">
        <f t="shared" si="2"/>
        <v>15</v>
      </c>
      <c r="C65">
        <f>+C64</f>
        <v>9</v>
      </c>
      <c r="D65">
        <f>+D64</f>
        <v>2008</v>
      </c>
      <c r="E65" s="126">
        <f t="shared" si="1"/>
        <v>39706</v>
      </c>
      <c r="H65" s="122">
        <f>+E65-$G$43</f>
        <v>39699</v>
      </c>
      <c r="I65" s="122">
        <f>+E65+$G$43</f>
        <v>39713</v>
      </c>
      <c r="J65" s="41">
        <f t="shared" si="0"/>
        <v>14</v>
      </c>
      <c r="K65" s="133"/>
      <c r="L65" s="40">
        <f>+J65</f>
        <v>14</v>
      </c>
      <c r="M65" s="134">
        <f>+G64*J65/F64</f>
        <v>94.266666666666666</v>
      </c>
    </row>
    <row r="66" spans="1:13">
      <c r="A66" s="121" t="str">
        <f>+A27</f>
        <v>Oktober 2008</v>
      </c>
      <c r="B66">
        <f t="shared" si="2"/>
        <v>1</v>
      </c>
      <c r="C66">
        <f>MONTH(A66)</f>
        <v>10</v>
      </c>
      <c r="D66">
        <f>+YEAR(A66)</f>
        <v>2008</v>
      </c>
      <c r="E66" s="126">
        <f t="shared" si="1"/>
        <v>39722</v>
      </c>
      <c r="F66" s="41">
        <f>+E68-E66</f>
        <v>31</v>
      </c>
      <c r="G66" s="1">
        <f>+B27</f>
        <v>330.8</v>
      </c>
      <c r="H66" s="122">
        <f>+I65</f>
        <v>39713</v>
      </c>
      <c r="I66" s="122">
        <f>+H67</f>
        <v>39729</v>
      </c>
      <c r="J66" s="41">
        <f t="shared" si="0"/>
        <v>16</v>
      </c>
      <c r="K66" s="133">
        <f>+J66-DAY(I66)</f>
        <v>8</v>
      </c>
      <c r="L66" s="133">
        <f>+J66-K66</f>
        <v>8</v>
      </c>
      <c r="M66" s="134">
        <f>+G64*K66/F64 + L66*G66/F66</f>
        <v>139.23440860215055</v>
      </c>
    </row>
    <row r="67" spans="1:13">
      <c r="B67">
        <f t="shared" si="2"/>
        <v>15</v>
      </c>
      <c r="C67">
        <f>+C66</f>
        <v>10</v>
      </c>
      <c r="D67">
        <f>+D66</f>
        <v>2008</v>
      </c>
      <c r="E67" s="126">
        <f t="shared" si="1"/>
        <v>39736</v>
      </c>
      <c r="H67" s="122">
        <f>+E67-$G$43</f>
        <v>39729</v>
      </c>
      <c r="I67" s="122">
        <f>+E67+$G$43</f>
        <v>39743</v>
      </c>
      <c r="J67" s="41">
        <f t="shared" si="0"/>
        <v>14</v>
      </c>
      <c r="K67" s="133"/>
      <c r="L67" s="40">
        <f>+J67</f>
        <v>14</v>
      </c>
      <c r="M67" s="134">
        <f>+G66*J67/F66</f>
        <v>149.39354838709676</v>
      </c>
    </row>
    <row r="68" spans="1:13">
      <c r="A68" s="121" t="str">
        <f>+A28</f>
        <v>November 2008</v>
      </c>
      <c r="B68">
        <f t="shared" si="2"/>
        <v>1</v>
      </c>
      <c r="C68">
        <f>MONTH(A68)</f>
        <v>11</v>
      </c>
      <c r="D68">
        <f>+YEAR(A68)</f>
        <v>2008</v>
      </c>
      <c r="E68" s="126">
        <f t="shared" si="1"/>
        <v>39753</v>
      </c>
      <c r="F68" s="128">
        <f>365-SUM(F46:F66)</f>
        <v>29</v>
      </c>
      <c r="G68" s="1">
        <f>+B28</f>
        <v>435.3</v>
      </c>
      <c r="H68" s="122">
        <f>+I67</f>
        <v>39743</v>
      </c>
      <c r="I68" s="122">
        <f>+H69</f>
        <v>39760</v>
      </c>
      <c r="J68" s="41">
        <f t="shared" si="0"/>
        <v>17</v>
      </c>
      <c r="K68" s="133">
        <f>+J68-DAY(I68)</f>
        <v>9</v>
      </c>
      <c r="L68" s="133">
        <f>+J68-K68</f>
        <v>8</v>
      </c>
      <c r="M68" s="134">
        <f>+G66*K68/F66 + L68*G68/F68</f>
        <v>216.12146829810902</v>
      </c>
    </row>
    <row r="69" spans="1:13">
      <c r="A69" s="3"/>
      <c r="B69">
        <f t="shared" si="2"/>
        <v>15</v>
      </c>
      <c r="C69">
        <f>+C68</f>
        <v>11</v>
      </c>
      <c r="D69">
        <f>+D68</f>
        <v>2008</v>
      </c>
      <c r="E69" s="126">
        <f t="shared" si="1"/>
        <v>39767</v>
      </c>
      <c r="H69" s="122">
        <f>+E69-$G$43</f>
        <v>39760</v>
      </c>
      <c r="I69" s="123">
        <f>+H46+365</f>
        <v>39782</v>
      </c>
      <c r="J69" s="41">
        <f t="shared" si="0"/>
        <v>22</v>
      </c>
      <c r="K69" s="133"/>
      <c r="L69" s="40">
        <f>+J69</f>
        <v>22</v>
      </c>
      <c r="M69" s="134">
        <f>+G68*J69/F68</f>
        <v>330.22758620689655</v>
      </c>
    </row>
    <row r="70" spans="1:13">
      <c r="A70" s="3"/>
      <c r="M70" s="1"/>
    </row>
    <row r="71" spans="1:13">
      <c r="A71" s="3"/>
      <c r="G71" s="1">
        <f>+B29</f>
        <v>3429.7</v>
      </c>
      <c r="J71">
        <f>SUM(J46:J70)</f>
        <v>365</v>
      </c>
      <c r="M71" s="1"/>
    </row>
    <row r="72" spans="1:13">
      <c r="A72" s="3"/>
    </row>
    <row r="73" spans="1:13">
      <c r="A73" s="3"/>
    </row>
    <row r="74" spans="1:13">
      <c r="A74" s="3"/>
    </row>
    <row r="75" spans="1:13">
      <c r="A75" s="3"/>
    </row>
    <row r="76" spans="1:13">
      <c r="A76" s="3"/>
    </row>
    <row r="77" spans="1:13">
      <c r="A77" s="3"/>
    </row>
    <row r="78" spans="1:13">
      <c r="A78" s="3"/>
    </row>
    <row r="79" spans="1:13">
      <c r="A79" s="3"/>
    </row>
    <row r="80" spans="1:13">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row r="122" spans="1:1">
      <c r="A122" s="3"/>
    </row>
    <row r="123" spans="1:1">
      <c r="A123" s="3"/>
    </row>
    <row r="124" spans="1:1">
      <c r="A124" s="3"/>
    </row>
    <row r="125" spans="1:1">
      <c r="A125" s="3"/>
    </row>
    <row r="126" spans="1:1">
      <c r="A126" s="3"/>
    </row>
    <row r="127" spans="1:1">
      <c r="A127" s="3"/>
    </row>
    <row r="128" spans="1:1">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2" spans="1:1">
      <c r="A142" s="3"/>
    </row>
    <row r="143" spans="1:1">
      <c r="A143" s="3"/>
    </row>
    <row r="144" spans="1:1">
      <c r="A144" s="3"/>
    </row>
    <row r="145" spans="1:1">
      <c r="A145" s="3"/>
    </row>
    <row r="146" spans="1:1">
      <c r="A146" s="3"/>
    </row>
    <row r="147" spans="1:1">
      <c r="A147" s="3"/>
    </row>
    <row r="148" spans="1:1">
      <c r="A148" s="3"/>
    </row>
    <row r="149" spans="1:1">
      <c r="A149" s="3"/>
    </row>
    <row r="150" spans="1:1">
      <c r="A150" s="3"/>
    </row>
    <row r="151" spans="1:1">
      <c r="A151" s="3"/>
    </row>
    <row r="152" spans="1:1">
      <c r="A152" s="3"/>
    </row>
    <row r="153" spans="1:1">
      <c r="A153" s="3"/>
    </row>
    <row r="154" spans="1:1">
      <c r="A154" s="3"/>
    </row>
    <row r="155" spans="1:1">
      <c r="A155" s="3"/>
    </row>
    <row r="156" spans="1:1">
      <c r="A156" s="3"/>
    </row>
    <row r="157" spans="1:1">
      <c r="A157" s="3"/>
    </row>
    <row r="158" spans="1:1">
      <c r="A158" s="3"/>
    </row>
    <row r="159" spans="1:1">
      <c r="A159" s="3"/>
    </row>
    <row r="160" spans="1:1">
      <c r="A160" s="3"/>
    </row>
    <row r="161" spans="1:1">
      <c r="A161" s="3"/>
    </row>
    <row r="162" spans="1:1">
      <c r="A162" s="3"/>
    </row>
    <row r="163" spans="1:1">
      <c r="A163" s="3"/>
    </row>
    <row r="164" spans="1:1">
      <c r="A164" s="3"/>
    </row>
    <row r="165" spans="1:1">
      <c r="A165" s="3"/>
    </row>
    <row r="166" spans="1:1">
      <c r="A166" s="3"/>
    </row>
    <row r="167" spans="1:1">
      <c r="A167" s="3"/>
    </row>
    <row r="168" spans="1:1">
      <c r="A168" s="3"/>
    </row>
    <row r="169" spans="1:1">
      <c r="A169" s="3"/>
    </row>
    <row r="170" spans="1:1">
      <c r="A170" s="3"/>
    </row>
    <row r="171" spans="1:1">
      <c r="A171" s="3"/>
    </row>
    <row r="172" spans="1:1">
      <c r="A172" s="3"/>
    </row>
    <row r="173" spans="1:1">
      <c r="A173" s="3"/>
    </row>
    <row r="174" spans="1:1">
      <c r="A174" s="3"/>
    </row>
    <row r="175" spans="1:1">
      <c r="A175" s="3"/>
    </row>
    <row r="176" spans="1:1">
      <c r="A176" s="3"/>
    </row>
    <row r="177" spans="1:1">
      <c r="A177" s="3"/>
    </row>
    <row r="178" spans="1:1">
      <c r="A178" s="3"/>
    </row>
    <row r="179" spans="1:1">
      <c r="A179" s="3"/>
    </row>
    <row r="180" spans="1:1">
      <c r="A180" s="3"/>
    </row>
    <row r="181" spans="1:1">
      <c r="A181" s="3"/>
    </row>
    <row r="182" spans="1:1">
      <c r="A182" s="3"/>
    </row>
    <row r="183" spans="1:1">
      <c r="A183" s="3"/>
    </row>
    <row r="184" spans="1:1">
      <c r="A184" s="3"/>
    </row>
    <row r="185" spans="1:1">
      <c r="A185" s="3"/>
    </row>
    <row r="186" spans="1:1">
      <c r="A186" s="3"/>
    </row>
    <row r="187" spans="1:1">
      <c r="A187" s="3"/>
    </row>
    <row r="188" spans="1:1">
      <c r="A188" s="3"/>
    </row>
    <row r="189" spans="1:1">
      <c r="A189" s="3"/>
    </row>
    <row r="190" spans="1:1">
      <c r="A190" s="3"/>
    </row>
    <row r="191" spans="1:1">
      <c r="A191" s="3"/>
    </row>
    <row r="192" spans="1:1">
      <c r="A192" s="3"/>
    </row>
    <row r="193" spans="1:1">
      <c r="A193" s="3"/>
    </row>
    <row r="194" spans="1:1">
      <c r="A194" s="3"/>
    </row>
    <row r="195" spans="1:1">
      <c r="A195" s="3"/>
    </row>
    <row r="196" spans="1:1">
      <c r="A196" s="3"/>
    </row>
    <row r="197" spans="1:1">
      <c r="A197" s="3"/>
    </row>
    <row r="198" spans="1:1">
      <c r="A198" s="3"/>
    </row>
    <row r="199" spans="1:1">
      <c r="A199" s="3"/>
    </row>
    <row r="200" spans="1:1">
      <c r="A200" s="3"/>
    </row>
    <row r="201" spans="1:1">
      <c r="A201" s="3"/>
    </row>
    <row r="202" spans="1:1">
      <c r="A202" s="3"/>
    </row>
    <row r="203" spans="1:1">
      <c r="A203" s="3"/>
    </row>
    <row r="204" spans="1:1">
      <c r="A204" s="3"/>
    </row>
    <row r="205" spans="1:1">
      <c r="A205" s="3"/>
    </row>
    <row r="206" spans="1:1">
      <c r="A206" s="3"/>
    </row>
    <row r="207" spans="1:1">
      <c r="A207" s="3"/>
    </row>
    <row r="208" spans="1:1">
      <c r="A208" s="3"/>
    </row>
    <row r="209" spans="1:1">
      <c r="A209" s="3"/>
    </row>
    <row r="210" spans="1:1">
      <c r="A210" s="3"/>
    </row>
    <row r="211" spans="1:1">
      <c r="A211" s="3"/>
    </row>
    <row r="212" spans="1:1">
      <c r="A212" s="3"/>
    </row>
    <row r="213" spans="1:1">
      <c r="A213" s="3"/>
    </row>
    <row r="214" spans="1:1">
      <c r="A214" s="3"/>
    </row>
    <row r="215" spans="1:1">
      <c r="A215" s="3"/>
    </row>
    <row r="216" spans="1:1">
      <c r="A216" s="3"/>
    </row>
    <row r="217" spans="1:1">
      <c r="A217" s="3"/>
    </row>
    <row r="218" spans="1:1">
      <c r="A218" s="3"/>
    </row>
    <row r="219" spans="1:1">
      <c r="A219" s="3"/>
    </row>
    <row r="220" spans="1:1">
      <c r="A220" s="3"/>
    </row>
    <row r="221" spans="1:1">
      <c r="A221" s="3"/>
    </row>
    <row r="222" spans="1:1">
      <c r="A222" s="3"/>
    </row>
    <row r="223" spans="1:1">
      <c r="A223" s="3"/>
    </row>
    <row r="224" spans="1:1">
      <c r="A224" s="3"/>
    </row>
    <row r="225" spans="1:1">
      <c r="A225" s="3"/>
    </row>
    <row r="226" spans="1:1">
      <c r="A226" s="3"/>
    </row>
    <row r="227" spans="1:1">
      <c r="A227" s="3"/>
    </row>
    <row r="228" spans="1:1">
      <c r="A228" s="3"/>
    </row>
    <row r="229" spans="1:1">
      <c r="A229" s="3"/>
    </row>
    <row r="230" spans="1:1">
      <c r="A230" s="3"/>
    </row>
    <row r="231" spans="1:1">
      <c r="A231" s="3"/>
    </row>
    <row r="232" spans="1:1">
      <c r="A232" s="3"/>
    </row>
    <row r="233" spans="1:1">
      <c r="A233" s="3"/>
    </row>
    <row r="234" spans="1:1">
      <c r="A234" s="3"/>
    </row>
    <row r="235" spans="1:1">
      <c r="A235" s="3"/>
    </row>
    <row r="236" spans="1:1">
      <c r="A236" s="3"/>
    </row>
    <row r="237" spans="1:1">
      <c r="A237" s="3"/>
    </row>
    <row r="238" spans="1:1">
      <c r="A238" s="3"/>
    </row>
    <row r="239" spans="1:1">
      <c r="A239" s="3"/>
    </row>
    <row r="240" spans="1:1">
      <c r="A240" s="3"/>
    </row>
    <row r="241" spans="1:1">
      <c r="A241" s="3"/>
    </row>
    <row r="242" spans="1:1">
      <c r="A242" s="3"/>
    </row>
    <row r="243" spans="1:1">
      <c r="A243" s="3"/>
    </row>
    <row r="244" spans="1:1">
      <c r="A244" s="3"/>
    </row>
    <row r="245" spans="1:1">
      <c r="A245" s="3"/>
    </row>
    <row r="246" spans="1:1">
      <c r="A246" s="3"/>
    </row>
    <row r="247" spans="1:1">
      <c r="A247" s="3"/>
    </row>
    <row r="248" spans="1:1">
      <c r="A248" s="3"/>
    </row>
    <row r="249" spans="1:1">
      <c r="A249" s="3"/>
    </row>
    <row r="250" spans="1:1">
      <c r="A250" s="3"/>
    </row>
    <row r="251" spans="1:1">
      <c r="A251" s="3"/>
    </row>
    <row r="252" spans="1:1">
      <c r="A252" s="3"/>
    </row>
    <row r="253" spans="1:1">
      <c r="A253" s="3"/>
    </row>
    <row r="254" spans="1:1">
      <c r="A254" s="3"/>
    </row>
    <row r="255" spans="1:1">
      <c r="A255" s="3"/>
    </row>
    <row r="256" spans="1:1">
      <c r="A256" s="3"/>
    </row>
    <row r="257" spans="1:1">
      <c r="A257" s="3"/>
    </row>
    <row r="258" spans="1:1">
      <c r="A258" s="3"/>
    </row>
    <row r="259" spans="1:1">
      <c r="A259" s="3"/>
    </row>
    <row r="260" spans="1:1">
      <c r="A260" s="3"/>
    </row>
    <row r="261" spans="1:1">
      <c r="A261" s="3"/>
    </row>
    <row r="262" spans="1:1">
      <c r="A262" s="3"/>
    </row>
    <row r="263" spans="1:1">
      <c r="A263" s="3"/>
    </row>
    <row r="264" spans="1:1">
      <c r="A264" s="3"/>
    </row>
    <row r="265" spans="1:1">
      <c r="A265" s="3"/>
    </row>
    <row r="266" spans="1:1">
      <c r="A266" s="3"/>
    </row>
    <row r="267" spans="1:1">
      <c r="A267" s="3"/>
    </row>
    <row r="268" spans="1:1">
      <c r="A268" s="3"/>
    </row>
    <row r="269" spans="1:1">
      <c r="A269" s="3"/>
    </row>
    <row r="270" spans="1:1">
      <c r="A270" s="3"/>
    </row>
    <row r="271" spans="1:1">
      <c r="A271" s="3"/>
    </row>
    <row r="272" spans="1:1">
      <c r="A272" s="3"/>
    </row>
    <row r="273" spans="1:1">
      <c r="A273" s="3"/>
    </row>
    <row r="274" spans="1:1">
      <c r="A274" s="3"/>
    </row>
    <row r="275" spans="1:1">
      <c r="A275" s="3"/>
    </row>
    <row r="276" spans="1:1">
      <c r="A276" s="3"/>
    </row>
    <row r="277" spans="1:1">
      <c r="A277" s="3"/>
    </row>
    <row r="278" spans="1:1">
      <c r="A278" s="3"/>
    </row>
    <row r="279" spans="1:1">
      <c r="A279" s="3"/>
    </row>
    <row r="280" spans="1:1">
      <c r="A280" s="3"/>
    </row>
    <row r="281" spans="1:1">
      <c r="A281" s="3"/>
    </row>
    <row r="282" spans="1:1">
      <c r="A282" s="3"/>
    </row>
    <row r="283" spans="1:1">
      <c r="A283" s="3"/>
    </row>
    <row r="284" spans="1:1">
      <c r="A284" s="3"/>
    </row>
    <row r="285" spans="1:1">
      <c r="A285" s="3"/>
    </row>
    <row r="286" spans="1:1">
      <c r="A286" s="3"/>
    </row>
    <row r="287" spans="1:1">
      <c r="A287" s="3"/>
    </row>
    <row r="288" spans="1:1">
      <c r="A288" s="3"/>
    </row>
    <row r="289" spans="1:1">
      <c r="A289" s="3"/>
    </row>
    <row r="290" spans="1:1">
      <c r="A290" s="3"/>
    </row>
    <row r="291" spans="1:1">
      <c r="A291" s="3"/>
    </row>
    <row r="292" spans="1:1">
      <c r="A292" s="3"/>
    </row>
    <row r="293" spans="1:1">
      <c r="A293" s="3"/>
    </row>
    <row r="294" spans="1:1">
      <c r="A294" s="3"/>
    </row>
    <row r="295" spans="1:1">
      <c r="A295" s="3"/>
    </row>
    <row r="296" spans="1:1">
      <c r="A296" s="3"/>
    </row>
    <row r="297" spans="1:1">
      <c r="A297" s="3"/>
    </row>
    <row r="298" spans="1:1">
      <c r="A298" s="3"/>
    </row>
    <row r="299" spans="1:1">
      <c r="A299" s="3"/>
    </row>
    <row r="300" spans="1:1">
      <c r="A300" s="3"/>
    </row>
    <row r="301" spans="1:1">
      <c r="A301" s="3"/>
    </row>
    <row r="302" spans="1:1">
      <c r="A302" s="3"/>
    </row>
    <row r="303" spans="1:1">
      <c r="A303" s="3"/>
    </row>
    <row r="304" spans="1:1">
      <c r="A304" s="3"/>
    </row>
    <row r="305" spans="1:1">
      <c r="A305" s="3"/>
    </row>
    <row r="306" spans="1:1">
      <c r="A306" s="3"/>
    </row>
    <row r="307" spans="1:1">
      <c r="A307" s="3"/>
    </row>
    <row r="308" spans="1:1">
      <c r="A308" s="3"/>
    </row>
    <row r="309" spans="1:1">
      <c r="A309" s="3"/>
    </row>
    <row r="310" spans="1:1">
      <c r="A310" s="3"/>
    </row>
    <row r="311" spans="1:1">
      <c r="A311" s="3"/>
    </row>
    <row r="312" spans="1:1">
      <c r="A312" s="3"/>
    </row>
    <row r="313" spans="1:1">
      <c r="A313" s="3"/>
    </row>
    <row r="314" spans="1:1">
      <c r="A314" s="3"/>
    </row>
    <row r="315" spans="1:1">
      <c r="A315" s="3"/>
    </row>
    <row r="316" spans="1:1">
      <c r="A316" s="3"/>
    </row>
    <row r="317" spans="1:1">
      <c r="A317" s="3"/>
    </row>
    <row r="318" spans="1:1">
      <c r="A318" s="3"/>
    </row>
    <row r="319" spans="1:1">
      <c r="A319" s="3"/>
    </row>
    <row r="320" spans="1:1">
      <c r="A320" s="3"/>
    </row>
    <row r="321" spans="1:1">
      <c r="A321" s="3"/>
    </row>
    <row r="322" spans="1:1">
      <c r="A322" s="3"/>
    </row>
    <row r="323" spans="1:1">
      <c r="A323" s="3"/>
    </row>
    <row r="324" spans="1:1">
      <c r="A324" s="3"/>
    </row>
    <row r="325" spans="1:1">
      <c r="A325" s="3"/>
    </row>
    <row r="326" spans="1:1">
      <c r="A326" s="3"/>
    </row>
    <row r="327" spans="1:1">
      <c r="A327" s="3"/>
    </row>
    <row r="328" spans="1:1">
      <c r="A328" s="3"/>
    </row>
    <row r="329" spans="1:1">
      <c r="A329" s="3"/>
    </row>
    <row r="330" spans="1:1">
      <c r="A330" s="3"/>
    </row>
    <row r="331" spans="1:1">
      <c r="A331" s="3"/>
    </row>
    <row r="332" spans="1:1">
      <c r="A332" s="3"/>
    </row>
    <row r="333" spans="1:1">
      <c r="A333" s="3"/>
    </row>
    <row r="334" spans="1:1">
      <c r="A334" s="3"/>
    </row>
    <row r="335" spans="1:1">
      <c r="A335" s="3"/>
    </row>
    <row r="336" spans="1:1">
      <c r="A336" s="3"/>
    </row>
    <row r="337" spans="1:1">
      <c r="A337" s="3"/>
    </row>
    <row r="338" spans="1:1">
      <c r="A338" s="3"/>
    </row>
    <row r="339" spans="1:1">
      <c r="A339" s="3"/>
    </row>
    <row r="340" spans="1:1">
      <c r="A340" s="3"/>
    </row>
    <row r="341" spans="1:1">
      <c r="A341" s="3"/>
    </row>
    <row r="342" spans="1:1">
      <c r="A342" s="3"/>
    </row>
    <row r="343" spans="1:1">
      <c r="A343" s="3"/>
    </row>
    <row r="344" spans="1:1">
      <c r="A344" s="3"/>
    </row>
    <row r="345" spans="1:1">
      <c r="A345" s="3"/>
    </row>
    <row r="346" spans="1:1">
      <c r="A346" s="3"/>
    </row>
    <row r="347" spans="1:1">
      <c r="A347" s="3"/>
    </row>
    <row r="348" spans="1:1">
      <c r="A348" s="3"/>
    </row>
    <row r="349" spans="1:1">
      <c r="A349" s="3"/>
    </row>
    <row r="350" spans="1:1">
      <c r="A350" s="3"/>
    </row>
    <row r="351" spans="1:1">
      <c r="A351" s="3"/>
    </row>
    <row r="352" spans="1:1">
      <c r="A352" s="3"/>
    </row>
    <row r="353" spans="1:1">
      <c r="A353" s="3"/>
    </row>
    <row r="354" spans="1:1">
      <c r="A354" s="3"/>
    </row>
    <row r="355" spans="1:1">
      <c r="A355" s="3"/>
    </row>
    <row r="356" spans="1:1">
      <c r="A356" s="3"/>
    </row>
    <row r="357" spans="1:1">
      <c r="A357" s="3"/>
    </row>
    <row r="358" spans="1:1">
      <c r="A358" s="3"/>
    </row>
    <row r="359" spans="1:1">
      <c r="A359" s="3"/>
    </row>
    <row r="360" spans="1:1">
      <c r="A360" s="3"/>
    </row>
    <row r="361" spans="1:1">
      <c r="A361" s="3"/>
    </row>
    <row r="362" spans="1:1">
      <c r="A362" s="3"/>
    </row>
    <row r="363" spans="1:1">
      <c r="A363" s="3"/>
    </row>
    <row r="364" spans="1:1">
      <c r="A364" s="3"/>
    </row>
    <row r="365" spans="1:1">
      <c r="A365" s="3"/>
    </row>
    <row r="366" spans="1:1">
      <c r="A366" s="3"/>
    </row>
    <row r="367" spans="1:1">
      <c r="A367" s="3"/>
    </row>
    <row r="368" spans="1:1">
      <c r="A368" s="3"/>
    </row>
    <row r="369" spans="1:1">
      <c r="A369" s="3"/>
    </row>
    <row r="370" spans="1:1">
      <c r="A370" s="3"/>
    </row>
    <row r="371" spans="1:1">
      <c r="A371" s="3"/>
    </row>
    <row r="372" spans="1:1">
      <c r="A372" s="3"/>
    </row>
    <row r="373" spans="1:1">
      <c r="A373" s="3"/>
    </row>
  </sheetData>
  <mergeCells count="1">
    <mergeCell ref="C9:E11"/>
  </mergeCells>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3.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Eingabedaten</vt:lpstr>
      <vt:lpstr>Zielgrafik</vt:lpstr>
      <vt:lpstr>Berechnung der Vergleichskurven</vt:lpstr>
      <vt:lpstr>Wetterdaten</vt:lpstr>
      <vt:lpstr>Eingabedaten!Druckbereich</vt:lpstr>
      <vt:lpstr>Zielgrafik!Druckbereich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Agent Mauss</dc:creator>
  <cp:lastModifiedBy>Admin</cp:lastModifiedBy>
  <cp:lastPrinted>2022-12-04T16:41:06Z</cp:lastPrinted>
  <dcterms:created xsi:type="dcterms:W3CDTF">2003-01-07T05:20:40Z</dcterms:created>
  <dcterms:modified xsi:type="dcterms:W3CDTF">2022-12-08T16:32:31Z</dcterms:modified>
</cp:coreProperties>
</file>